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 Stmt" sheetId="1" r:id="rId1"/>
    <sheet name="BSheet" sheetId="2" r:id="rId2"/>
    <sheet name="Stmt of Equity" sheetId="3" r:id="rId3"/>
    <sheet name="Cash Flow" sheetId="4" r:id="rId4"/>
    <sheet name="Segmental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<sst xmlns="http://schemas.openxmlformats.org/spreadsheetml/2006/main" count="230" uniqueCount="194">
  <si>
    <t>TALAM CORPORATION BERHAD (1120-H)</t>
  </si>
  <si>
    <t>Condensed Consolidated Income Statements</t>
  </si>
  <si>
    <t>For the quarter ended 30th April 2004</t>
  </si>
  <si>
    <t>2004</t>
  </si>
  <si>
    <t>2003</t>
  </si>
  <si>
    <t>Current Quarter</t>
  </si>
  <si>
    <t>Comparative quarter</t>
  </si>
  <si>
    <t>3 month</t>
  </si>
  <si>
    <t>Ended 30 April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</si>
  <si>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</si>
  <si>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</si>
  <si>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</si>
  <si>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</si>
  <si>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</si>
  <si>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</si>
  <si>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</si>
  <si>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</si>
  <si>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</si>
  <si>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</si>
  <si>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</si>
  <si>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</si>
  <si>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</si>
  <si>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Earnings Per Share - Basic </t>
  </si>
  <si>
    <t xml:space="preserve">                                  - Diluted</t>
  </si>
  <si>
    <t xml:space="preserve">Weighted average no of </t>
  </si>
  <si>
    <t>ordinary shares</t>
  </si>
  <si>
    <t>No disclosure of Diluted EPS for comparative figures as the effect of dilutive potential</t>
  </si>
  <si>
    <t>ordinary shares assumed from assumed conversion of warrants is anti-dilutive.</t>
  </si>
  <si>
    <t xml:space="preserve">The Condensed Consolidated Income Statement should be read in conjunction with </t>
  </si>
  <si>
    <t>the Annual Financial Report for the year ended 31st January 2004</t>
  </si>
  <si>
    <t>Condensed Consolidated Balance Sheets</t>
  </si>
  <si>
    <t>As At 30th April 2004</t>
  </si>
  <si>
    <t>UNAUDITED</t>
  </si>
  <si>
    <t>AUDITED</t>
  </si>
  <si>
    <t>QUARTER</t>
  </si>
  <si>
    <t xml:space="preserve">AS AT </t>
  </si>
  <si>
    <t>AS AT</t>
  </si>
  <si>
    <t>PRECEDING</t>
  </si>
  <si>
    <t>FINANCIAL</t>
  </si>
  <si>
    <t>YEAR END</t>
  </si>
  <si>
    <t>30.4.2004</t>
  </si>
  <si>
    <t>31.01.2004</t>
  </si>
  <si>
    <t>RM000</t>
  </si>
  <si>
    <t>PROPERTY, PLANT AND EQUIPMENT</t>
  </si>
  <si>
    <t>LAND HELD FOR DEVELOPMENT</t>
  </si>
  <si>
    <t>DEFERRED EXPENDITURE</t>
  </si>
  <si>
    <t>INVESTMENT PROPERTIES</t>
  </si>
  <si>
    <t>SUBSIDIARIES</t>
  </si>
  <si>
    <t>ASSOCIATED COMPANIES</t>
  </si>
  <si>
    <t>-</t>
  </si>
  <si>
    <t xml:space="preserve">GOODWILL </t>
  </si>
  <si>
    <t>SINKING FUND HELD BY TRUSTEES</t>
  </si>
  <si>
    <t>OTHER INVESTMENT</t>
  </si>
  <si>
    <t>LOANS AND FINANCING RECEIVABLES</t>
  </si>
  <si>
    <t>CURRENT ASSETS</t>
  </si>
  <si>
    <t>Development properties</t>
  </si>
  <si>
    <t>Inventories</t>
  </si>
  <si>
    <t>Debtors</t>
  </si>
  <si>
    <t>Cash and cash equivalents</t>
  </si>
  <si>
    <t>Total Current Assets</t>
  </si>
  <si>
    <t>CURRENT LIABILITIES</t>
  </si>
  <si>
    <t>Short term borrowings</t>
  </si>
  <si>
    <t>Trade creditors</t>
  </si>
  <si>
    <t>Land Vendor</t>
  </si>
  <si>
    <t>Deferred Progress Billing (Short Term Portion)</t>
  </si>
  <si>
    <t>Other creditor</t>
  </si>
  <si>
    <t>Dividend payable</t>
  </si>
  <si>
    <t>Total Current Liabilities</t>
  </si>
  <si>
    <t>NET CURRENT ASSETS</t>
  </si>
  <si>
    <t>NET ASSETS</t>
  </si>
  <si>
    <t>Represented by:</t>
  </si>
  <si>
    <t>ORDINARY SHARE CAPITAL</t>
  </si>
  <si>
    <t>IRREDEEMABLE CONVERTIBLE PREFERENCE SHARES</t>
  </si>
  <si>
    <t>LESS: TREASURY SHARES</t>
  </si>
  <si>
    <t>RESERVES</t>
  </si>
  <si>
    <t>SHAREHOLDERS' FUND</t>
  </si>
  <si>
    <t>MINORITY INTERESTS</t>
  </si>
  <si>
    <t>LONG TERM LIABILITIES</t>
  </si>
  <si>
    <t>Borrowings</t>
  </si>
  <si>
    <t>Deferred Progress Billing (Long Term Portion)</t>
  </si>
  <si>
    <t>Other deferred liabilities</t>
  </si>
  <si>
    <t>TOTAL CAPITAL EMPLOYED</t>
  </si>
  <si>
    <t>Net tangible assets per share (RM) based on 573,075,106</t>
  </si>
  <si>
    <t xml:space="preserve">  ordinary shares </t>
  </si>
  <si>
    <t>Net tangible assets per share (RM) after netting off</t>
  </si>
  <si>
    <t xml:space="preserve">  212,000 Treasury Shares</t>
  </si>
  <si>
    <t xml:space="preserve">The Condensed Consolidated Balance Sheet should be read in conjunction with </t>
  </si>
  <si>
    <t>the Annual Financial Report for the year ended 31st January 2004.</t>
  </si>
  <si>
    <t>Condensed Consolidated Statements of Changes in Equity</t>
  </si>
  <si>
    <t>Irredeemable</t>
  </si>
  <si>
    <t>Convertible</t>
  </si>
  <si>
    <t>Share</t>
  </si>
  <si>
    <t xml:space="preserve">Treasury </t>
  </si>
  <si>
    <t>Unsequered</t>
  </si>
  <si>
    <t>Reserve Attributable</t>
  </si>
  <si>
    <t>Retained</t>
  </si>
  <si>
    <t>3 months quarter ended 30 April 2004</t>
  </si>
  <si>
    <t>Capital</t>
  </si>
  <si>
    <t>Shares</t>
  </si>
  <si>
    <t>Loan Stock</t>
  </si>
  <si>
    <t>To Capital</t>
  </si>
  <si>
    <t>To Revenue</t>
  </si>
  <si>
    <t>Profits</t>
  </si>
  <si>
    <t>Total</t>
  </si>
  <si>
    <t>(Equity Portion)</t>
  </si>
  <si>
    <t>RM '000</t>
  </si>
  <si>
    <t>Balance at beginning of year</t>
  </si>
  <si>
    <t>Issuance of ordinary shares</t>
  </si>
  <si>
    <t>Issuance of Irredeemable Convertible Preference Shares (ICPS)</t>
  </si>
  <si>
    <t>Conversion of 7% ICULS 2003/2005</t>
  </si>
  <si>
    <t>Acquisition of treasury shares</t>
  </si>
  <si>
    <t>Disposal of treasury shares</t>
  </si>
  <si>
    <t>Foreign exchange differences</t>
  </si>
  <si>
    <t>Balance at end of period</t>
  </si>
  <si>
    <t>Financial Year Ended 31 January 2004</t>
  </si>
  <si>
    <t>Balance at 31 January 2003</t>
  </si>
  <si>
    <t>Liability component of ICPS</t>
  </si>
  <si>
    <t>Distribution of non-property related companies via cancellation of share premium</t>
  </si>
  <si>
    <t>Realisation of bonus issue arising from disposal of a subsidiary</t>
  </si>
  <si>
    <t>Net Profit for the year</t>
  </si>
  <si>
    <t>Less: Proposed Dividend (4% net of tax of 28%)</t>
  </si>
  <si>
    <t>Balance at 31 January 2004</t>
  </si>
  <si>
    <t xml:space="preserve">The Condensed Consolidated Statement of Changes In Equity should be read in conjunction with </t>
  </si>
  <si>
    <t>Condensed Cash Flow For The 3 Months Period Ended 30 April 2004</t>
  </si>
  <si>
    <t>Net cash used in operating activities</t>
  </si>
  <si>
    <t>Net cash used in investing activities</t>
  </si>
  <si>
    <t>NET DECREASE IN CASH &amp; CASH EQUIVALENTS</t>
  </si>
  <si>
    <t>CASH &amp; CASH EQUIVALENTS AT BEGINNING OF FINANCIAL PERIOD</t>
  </si>
  <si>
    <t>CASH &amp; CASH EQUIVALENTS AT END OF FINANCIAL PERIOD</t>
  </si>
  <si>
    <t>Note:-</t>
  </si>
  <si>
    <t xml:space="preserve">             Cash &amp; Cash Equivalent At End of Financial Period comprise of:-</t>
  </si>
  <si>
    <t xml:space="preserve">             Cash &amp; Bank</t>
  </si>
  <si>
    <t xml:space="preserve">             Deposits</t>
  </si>
  <si>
    <t xml:space="preserve">             Bank Overdraft</t>
  </si>
  <si>
    <t xml:space="preserve">             Less: Short-Term Deposit Restricted In Use </t>
  </si>
  <si>
    <t xml:space="preserve">The Condensed Consolidated Cash Flow Statement should be read in conjunction with </t>
  </si>
  <si>
    <t>9.</t>
  </si>
  <si>
    <t>Segmental Reporting - 30.04.2004</t>
  </si>
  <si>
    <t>a.</t>
  </si>
  <si>
    <t>Business segments</t>
  </si>
  <si>
    <t xml:space="preserve">Hotel &amp; </t>
  </si>
  <si>
    <t>Total before</t>
  </si>
  <si>
    <t>Leasing</t>
  </si>
  <si>
    <t>Manufacturing</t>
  </si>
  <si>
    <t>Trading</t>
  </si>
  <si>
    <t>Education</t>
  </si>
  <si>
    <t>recreation</t>
  </si>
  <si>
    <t>elimination</t>
  </si>
  <si>
    <t>Eliminations</t>
  </si>
  <si>
    <t>Consolidated</t>
  </si>
  <si>
    <t>RM ' 000</t>
  </si>
  <si>
    <t>REVENUE</t>
  </si>
  <si>
    <t>External sales</t>
  </si>
  <si>
    <t>Inter-segment sales</t>
  </si>
  <si>
    <t>Total revenue</t>
  </si>
  <si>
    <t>RESULT</t>
  </si>
  <si>
    <t>Profit Before Interest &amp; Tax</t>
  </si>
  <si>
    <t>Add: Interest Income</t>
  </si>
  <si>
    <t>Less: Interest Expense</t>
  </si>
  <si>
    <t xml:space="preserve">Segment result </t>
  </si>
  <si>
    <t>Operating profit/(Loss)</t>
  </si>
  <si>
    <t>Interest expenses</t>
  </si>
  <si>
    <t>Interest income</t>
  </si>
  <si>
    <t xml:space="preserve">Share of results from </t>
  </si>
  <si>
    <t xml:space="preserve">   associated companies</t>
  </si>
  <si>
    <t>Profit before taxation</t>
  </si>
  <si>
    <t>Income taxes</t>
  </si>
  <si>
    <t>Profit after taxation</t>
  </si>
  <si>
    <t>OTHER INFORMATION</t>
  </si>
  <si>
    <t>Capital expenditure</t>
  </si>
  <si>
    <t>Depreciation</t>
  </si>
  <si>
    <t>Non-Cash Expenses other than depn</t>
  </si>
  <si>
    <t>CONSOLIDATED BALANCE SHEET</t>
  </si>
  <si>
    <t xml:space="preserve">   ASSETS</t>
  </si>
  <si>
    <t>Segment assets</t>
  </si>
  <si>
    <t>Investment in equity</t>
  </si>
  <si>
    <t xml:space="preserve">   method associates</t>
  </si>
  <si>
    <t>Consolidated total assets</t>
  </si>
  <si>
    <t xml:space="preserve">   LIABILITIES</t>
  </si>
  <si>
    <t>Segment liabilities</t>
  </si>
  <si>
    <t>b.</t>
  </si>
  <si>
    <t>Geographical segments</t>
  </si>
  <si>
    <t xml:space="preserve">Sales </t>
  </si>
  <si>
    <t>Segment</t>
  </si>
  <si>
    <t>Additions to Prop</t>
  </si>
  <si>
    <t>revenue</t>
  </si>
  <si>
    <t>Assets</t>
  </si>
  <si>
    <t>Plant &amp; Equipment</t>
  </si>
  <si>
    <t>Malaysia</t>
  </si>
  <si>
    <t>The People's Republic of China</t>
  </si>
  <si>
    <t>Property investment</t>
  </si>
  <si>
    <t xml:space="preserve">development </t>
  </si>
  <si>
    <t>and</t>
  </si>
  <si>
    <t>Net cash generated from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</si>
</sst>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0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64" fontId="2" fillId="0" borderId="0" xfId="15" applyNumberFormat="1" applyFont="1" applyFill="1" applyAlignment="1" applyProtection="1">
      <alignment/>
      <protection hidden="1"/>
    </xf>
    <xf numFmtId="164" fontId="3" fillId="0" borderId="1" xfId="15" applyNumberFormat="1" applyFont="1" applyFill="1" applyBorder="1" applyAlignment="1" applyProtection="1" quotePrefix="1">
      <alignment horizontal="center"/>
      <protection hidden="1"/>
    </xf>
    <xf numFmtId="164" fontId="3" fillId="0" borderId="2" xfId="15" applyNumberFormat="1" applyFont="1" applyFill="1" applyBorder="1" applyAlignment="1" applyProtection="1" quotePrefix="1">
      <alignment horizontal="center"/>
      <protection hidden="1"/>
    </xf>
    <xf numFmtId="164" fontId="3" fillId="0" borderId="3" xfId="15" applyNumberFormat="1" applyFont="1" applyFill="1" applyBorder="1" applyAlignment="1" applyProtection="1">
      <alignment horizontal="center"/>
      <protection hidden="1"/>
    </xf>
    <xf numFmtId="164" fontId="3" fillId="0" borderId="4" xfId="15" applyNumberFormat="1" applyFont="1" applyFill="1" applyBorder="1" applyAlignment="1" applyProtection="1">
      <alignment horizontal="center"/>
      <protection hidden="1"/>
    </xf>
    <xf numFmtId="164" fontId="3" fillId="0" borderId="4" xfId="15" applyNumberFormat="1" applyFont="1" applyFill="1" applyBorder="1" applyAlignment="1" applyProtection="1" quotePrefix="1">
      <alignment horizontal="center"/>
      <protection hidden="1"/>
    </xf>
    <xf numFmtId="164" fontId="3" fillId="0" borderId="5" xfId="15" applyNumberFormat="1" applyFont="1" applyFill="1" applyBorder="1" applyAlignment="1" applyProtection="1">
      <alignment horizontal="center"/>
      <protection hidden="1"/>
    </xf>
    <xf numFmtId="164" fontId="3" fillId="0" borderId="6" xfId="15" applyNumberFormat="1" applyFont="1" applyFill="1" applyBorder="1" applyAlignment="1" applyProtection="1">
      <alignment horizontal="center"/>
      <protection hidden="1"/>
    </xf>
    <xf numFmtId="164" fontId="3" fillId="0" borderId="2" xfId="15" applyNumberFormat="1" applyFont="1" applyFill="1" applyBorder="1" applyAlignment="1" applyProtection="1">
      <alignment horizontal="center"/>
      <protection hidden="1"/>
    </xf>
    <xf numFmtId="164" fontId="2" fillId="0" borderId="4" xfId="15" applyNumberFormat="1" applyFont="1" applyFill="1" applyBorder="1" applyAlignment="1" applyProtection="1">
      <alignment/>
      <protection hidden="1"/>
    </xf>
    <xf numFmtId="164" fontId="2" fillId="0" borderId="6" xfId="15" applyNumberFormat="1" applyFont="1" applyFill="1" applyBorder="1" applyAlignment="1" applyProtection="1">
      <alignment/>
      <protection hidden="1"/>
    </xf>
    <xf numFmtId="164" fontId="2" fillId="0" borderId="2" xfId="15" applyNumberFormat="1" applyFont="1" applyFill="1" applyBorder="1" applyAlignment="1" applyProtection="1">
      <alignment/>
      <protection hidden="1"/>
    </xf>
    <xf numFmtId="164" fontId="2" fillId="0" borderId="7" xfId="15" applyNumberFormat="1" applyFont="1" applyFill="1" applyBorder="1" applyAlignment="1" applyProtection="1">
      <alignment/>
      <protection hidden="1"/>
    </xf>
    <xf numFmtId="43" fontId="2" fillId="0" borderId="6" xfId="15" applyFont="1" applyFill="1" applyBorder="1" applyAlignment="1" applyProtection="1">
      <alignment/>
      <protection hidden="1"/>
    </xf>
    <xf numFmtId="0" fontId="2" fillId="0" borderId="0" xfId="0" applyFont="1" applyFill="1" applyAlignment="1" applyProtection="1" quotePrefix="1">
      <alignment/>
      <protection hidden="1"/>
    </xf>
    <xf numFmtId="43" fontId="2" fillId="0" borderId="7" xfId="15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14" fontId="3" fillId="0" borderId="8" xfId="0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2" fillId="0" borderId="0" xfId="15" applyNumberFormat="1" applyFont="1" applyFill="1" applyAlignment="1" applyProtection="1">
      <alignment horizontal="center"/>
      <protection hidden="1"/>
    </xf>
    <xf numFmtId="164" fontId="2" fillId="0" borderId="0" xfId="15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64" fontId="2" fillId="0" borderId="8" xfId="15" applyNumberFormat="1" applyFont="1" applyFill="1" applyBorder="1" applyAlignment="1" applyProtection="1">
      <alignment/>
      <protection hidden="1"/>
    </xf>
    <xf numFmtId="164" fontId="2" fillId="0" borderId="9" xfId="15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164" fontId="5" fillId="0" borderId="10" xfId="15" applyNumberFormat="1" applyFont="1" applyFill="1" applyBorder="1" applyAlignment="1" applyProtection="1">
      <alignment/>
      <protection hidden="1"/>
    </xf>
    <xf numFmtId="164" fontId="5" fillId="0" borderId="0" xfId="15" applyNumberFormat="1" applyFont="1" applyFill="1" applyBorder="1" applyAlignment="1" applyProtection="1">
      <alignment/>
      <protection hidden="1"/>
    </xf>
    <xf numFmtId="164" fontId="5" fillId="0" borderId="0" xfId="0" applyNumberFormat="1" applyFont="1" applyFill="1" applyAlignment="1" applyProtection="1">
      <alignment/>
      <protection hidden="1"/>
    </xf>
    <xf numFmtId="164" fontId="5" fillId="0" borderId="0" xfId="15" applyNumberFormat="1" applyFont="1" applyFill="1" applyAlignment="1" applyProtection="1">
      <alignment/>
      <protection hidden="1"/>
    </xf>
    <xf numFmtId="43" fontId="3" fillId="0" borderId="0" xfId="15" applyNumberFormat="1" applyFont="1" applyFill="1" applyBorder="1" applyAlignment="1" applyProtection="1">
      <alignment/>
      <protection hidden="1"/>
    </xf>
    <xf numFmtId="165" fontId="2" fillId="0" borderId="11" xfId="15" applyNumberFormat="1" applyFont="1" applyFill="1" applyBorder="1" applyAlignment="1" applyProtection="1">
      <alignment/>
      <protection hidden="1"/>
    </xf>
    <xf numFmtId="165" fontId="2" fillId="0" borderId="0" xfId="15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43" fontId="2" fillId="0" borderId="0" xfId="15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4" fontId="2" fillId="0" borderId="0" xfId="15" applyNumberFormat="1" applyFont="1" applyAlignment="1" applyProtection="1">
      <alignment/>
      <protection hidden="1"/>
    </xf>
    <xf numFmtId="164" fontId="2" fillId="0" borderId="0" xfId="15" applyNumberFormat="1" applyFont="1" applyAlignment="1" applyProtection="1">
      <alignment horizontal="center"/>
      <protection hidden="1"/>
    </xf>
    <xf numFmtId="0" fontId="1" fillId="0" borderId="0" xfId="0" applyFont="1" applyAlignment="1" applyProtection="1" quotePrefix="1">
      <alignment/>
      <protection hidden="1"/>
    </xf>
    <xf numFmtId="164" fontId="2" fillId="0" borderId="0" xfId="15" applyNumberFormat="1" applyFont="1" applyBorder="1" applyAlignment="1" applyProtection="1">
      <alignment horizontal="center"/>
      <protection hidden="1"/>
    </xf>
    <xf numFmtId="164" fontId="2" fillId="0" borderId="8" xfId="15" applyNumberFormat="1" applyFont="1" applyBorder="1" applyAlignment="1" applyProtection="1">
      <alignment horizontal="center"/>
      <protection hidden="1"/>
    </xf>
    <xf numFmtId="15" fontId="1" fillId="0" borderId="0" xfId="0" applyNumberFormat="1" applyFont="1" applyAlignment="1" applyProtection="1" quotePrefix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64" fontId="2" fillId="0" borderId="0" xfId="15" applyNumberFormat="1" applyFont="1" applyBorder="1" applyAlignment="1" applyProtection="1">
      <alignment/>
      <protection hidden="1"/>
    </xf>
    <xf numFmtId="164" fontId="2" fillId="0" borderId="8" xfId="15" applyNumberFormat="1" applyFont="1" applyBorder="1" applyAlignment="1" applyProtection="1">
      <alignment/>
      <protection hidden="1"/>
    </xf>
    <xf numFmtId="164" fontId="2" fillId="0" borderId="9" xfId="15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 quotePrefix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9" fillId="0" borderId="0" xfId="0" applyNumberFormat="1" applyFont="1" applyBorder="1" applyAlignment="1" applyProtection="1">
      <alignment/>
      <protection hidden="1"/>
    </xf>
    <xf numFmtId="164" fontId="8" fillId="0" borderId="8" xfId="0" applyNumberFormat="1" applyFont="1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/>
      <protection hidden="1"/>
    </xf>
    <xf numFmtId="164" fontId="8" fillId="0" borderId="9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 quotePrefix="1">
      <alignment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64" fontId="4" fillId="0" borderId="0" xfId="15" applyNumberFormat="1" applyFont="1" applyBorder="1" applyAlignment="1" applyProtection="1">
      <alignment/>
      <protection hidden="1"/>
    </xf>
    <xf numFmtId="164" fontId="4" fillId="0" borderId="8" xfId="15" applyNumberFormat="1" applyFont="1" applyBorder="1" applyAlignment="1" applyProtection="1">
      <alignment/>
      <protection hidden="1"/>
    </xf>
    <xf numFmtId="164" fontId="4" fillId="0" borderId="9" xfId="0" applyNumberFormat="1" applyFon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left"/>
      <protection hidden="1"/>
    </xf>
    <xf numFmtId="0" fontId="3" fillId="0" borderId="0" xfId="0" applyFont="1" applyFill="1" applyAlignment="1" applyProtection="1" quotePrefix="1">
      <alignment/>
      <protection hidden="1"/>
    </xf>
    <xf numFmtId="37" fontId="2" fillId="0" borderId="0" xfId="15" applyNumberFormat="1" applyFont="1" applyFill="1" applyAlignment="1" applyProtection="1">
      <alignment/>
      <protection hidden="1"/>
    </xf>
    <xf numFmtId="164" fontId="2" fillId="0" borderId="10" xfId="15" applyNumberFormat="1" applyFont="1" applyFill="1" applyBorder="1" applyAlignment="1" applyProtection="1">
      <alignment/>
      <protection hidden="1"/>
    </xf>
    <xf numFmtId="37" fontId="2" fillId="0" borderId="0" xfId="0" applyNumberFormat="1" applyFont="1" applyFill="1" applyAlignment="1" applyProtection="1">
      <alignment/>
      <protection hidden="1"/>
    </xf>
    <xf numFmtId="164" fontId="2" fillId="0" borderId="13" xfId="15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lmConso_0404\KLSE_Ann%20QR-Apr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lmConso_0404\Q1_Apr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ry\TLM_Q2'03\KLSE_Ann%20QR-July%202003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lmConso_0404\CF04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lmConso_0307Adt\Q2_July03Ad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lmConso_0401Adt\Q4_Jan04(Audit%20Vers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 Inc Sttm-4 Leow"/>
      <sheetName val="Inc Sttm-workings"/>
      <sheetName val="gp margin-segment"/>
      <sheetName val="GP MARGIN"/>
      <sheetName val="Condensed BS-tcb"/>
      <sheetName val="BSHEET"/>
      <sheetName val="Notes to BS"/>
      <sheetName val="EQUITY-tcb"/>
      <sheetName val="RPT"/>
      <sheetName val="Detailed CF-31.1.2003"/>
      <sheetName val="Condensed CF-31.1.2003"/>
      <sheetName val="CF-workings31.1.2003"/>
      <sheetName val="Workings"/>
    </sheetNames>
    <sheetDataSet>
      <sheetData sheetId="0">
        <row r="27">
          <cell r="F27">
            <v>20522.14887680649</v>
          </cell>
        </row>
      </sheetData>
      <sheetData sheetId="1">
        <row r="11">
          <cell r="D11">
            <v>302577.68886520003</v>
          </cell>
          <cell r="E11">
            <v>219835</v>
          </cell>
          <cell r="F11">
            <v>302577.68886520003</v>
          </cell>
          <cell r="G11">
            <v>219835</v>
          </cell>
        </row>
        <row r="13">
          <cell r="D13">
            <v>-248246.8147592</v>
          </cell>
          <cell r="E13">
            <v>-184968</v>
          </cell>
          <cell r="F13">
            <v>-248246.8147592</v>
          </cell>
          <cell r="G13">
            <v>-184968</v>
          </cell>
        </row>
        <row r="20">
          <cell r="D20">
            <v>-26804.128976762597</v>
          </cell>
          <cell r="E20">
            <v>-21449</v>
          </cell>
          <cell r="F20">
            <v>-26804.128976762597</v>
          </cell>
          <cell r="G20">
            <v>-21449</v>
          </cell>
        </row>
        <row r="22">
          <cell r="D22">
            <v>6731.7488992</v>
          </cell>
          <cell r="E22">
            <v>5060</v>
          </cell>
          <cell r="F22">
            <v>6731.7488992</v>
          </cell>
          <cell r="G22">
            <v>5060</v>
          </cell>
        </row>
        <row r="27">
          <cell r="D27">
            <v>-3931.6742495999997</v>
          </cell>
          <cell r="E27">
            <v>-4645</v>
          </cell>
          <cell r="F27">
            <v>-3931.6742495999997</v>
          </cell>
          <cell r="G27">
            <v>-4645</v>
          </cell>
        </row>
        <row r="29">
          <cell r="D29">
            <v>0</v>
          </cell>
          <cell r="E29">
            <v>-46</v>
          </cell>
          <cell r="F29">
            <v>0</v>
          </cell>
          <cell r="G29">
            <v>-46</v>
          </cell>
        </row>
        <row r="32">
          <cell r="D32">
            <v>-10205.067</v>
          </cell>
          <cell r="E32">
            <v>-4275</v>
          </cell>
          <cell r="F32">
            <v>-10205.067</v>
          </cell>
          <cell r="G32">
            <v>-4275</v>
          </cell>
        </row>
        <row r="40">
          <cell r="D40">
            <v>400.39609796907143</v>
          </cell>
          <cell r="E40">
            <v>1866</v>
          </cell>
          <cell r="F40">
            <v>400.39609796907143</v>
          </cell>
          <cell r="G40">
            <v>1866</v>
          </cell>
        </row>
        <row r="43">
          <cell r="D43">
            <v>3.641577936478953</v>
          </cell>
          <cell r="E43">
            <v>5.284964466533513</v>
          </cell>
          <cell r="F43">
            <v>3.6416098277590874</v>
          </cell>
          <cell r="G43">
            <v>5.284964466533513</v>
          </cell>
        </row>
        <row r="44">
          <cell r="D44">
            <v>3.397830613826934</v>
          </cell>
          <cell r="F44">
            <v>3.397830613826934</v>
          </cell>
        </row>
      </sheetData>
      <sheetData sheetId="6">
        <row r="13">
          <cell r="G13">
            <v>278969.56095539447</v>
          </cell>
          <cell r="I13">
            <v>275225</v>
          </cell>
        </row>
        <row r="14">
          <cell r="G14">
            <v>742256.0644427242</v>
          </cell>
          <cell r="I14">
            <v>758540</v>
          </cell>
        </row>
        <row r="15">
          <cell r="G15">
            <v>0</v>
          </cell>
        </row>
        <row r="16">
          <cell r="G16">
            <v>168140.78726999997</v>
          </cell>
          <cell r="I16">
            <v>168303</v>
          </cell>
        </row>
        <row r="17">
          <cell r="G17">
            <v>0.000309999942779541</v>
          </cell>
        </row>
        <row r="18">
          <cell r="I18">
            <v>0</v>
          </cell>
        </row>
        <row r="19">
          <cell r="G19">
            <v>3155.3999520286156</v>
          </cell>
          <cell r="I19">
            <v>3178</v>
          </cell>
        </row>
        <row r="20">
          <cell r="G20">
            <v>50446.829</v>
          </cell>
          <cell r="I20">
            <v>70569</v>
          </cell>
        </row>
        <row r="21">
          <cell r="G21">
            <v>76332.275</v>
          </cell>
          <cell r="I21">
            <v>76332</v>
          </cell>
        </row>
        <row r="22">
          <cell r="G22">
            <v>4592.235</v>
          </cell>
          <cell r="I22">
            <v>4647</v>
          </cell>
        </row>
        <row r="26">
          <cell r="G26">
            <v>2174340.222919187</v>
          </cell>
          <cell r="I26">
            <v>1991534</v>
          </cell>
        </row>
        <row r="27">
          <cell r="G27">
            <v>131747.6758269</v>
          </cell>
          <cell r="I27">
            <v>131748</v>
          </cell>
        </row>
        <row r="28">
          <cell r="G28">
            <v>4366.417</v>
          </cell>
          <cell r="I28">
            <v>4366</v>
          </cell>
        </row>
        <row r="29">
          <cell r="G29">
            <v>196192.6820384</v>
          </cell>
          <cell r="I29">
            <v>297154</v>
          </cell>
        </row>
        <row r="30">
          <cell r="G30">
            <v>401935.56248550024</v>
          </cell>
          <cell r="I30">
            <v>250020</v>
          </cell>
        </row>
        <row r="31">
          <cell r="G31">
            <v>292973.64437419997</v>
          </cell>
          <cell r="I31">
            <v>310456</v>
          </cell>
        </row>
        <row r="36">
          <cell r="G36">
            <v>72159.413</v>
          </cell>
          <cell r="I36">
            <v>73926</v>
          </cell>
        </row>
        <row r="37">
          <cell r="G37">
            <v>515880.71861730004</v>
          </cell>
          <cell r="I37">
            <v>411181</v>
          </cell>
        </row>
        <row r="38">
          <cell r="G38">
            <v>0</v>
          </cell>
        </row>
        <row r="39">
          <cell r="G39">
            <v>722003.484148865</v>
          </cell>
          <cell r="I39">
            <v>631007</v>
          </cell>
        </row>
        <row r="40">
          <cell r="G40">
            <v>1028949.3593718</v>
          </cell>
          <cell r="I40">
            <v>1068292</v>
          </cell>
        </row>
        <row r="41">
          <cell r="G41">
            <v>184913.875</v>
          </cell>
          <cell r="I41">
            <v>179302</v>
          </cell>
        </row>
        <row r="52">
          <cell r="G52">
            <v>607701.178</v>
          </cell>
          <cell r="I52">
            <v>600290</v>
          </cell>
        </row>
        <row r="54">
          <cell r="G54">
            <v>124550.353</v>
          </cell>
          <cell r="I54">
            <v>124551</v>
          </cell>
        </row>
        <row r="55">
          <cell r="G55">
            <v>11771.451948083006</v>
          </cell>
          <cell r="I55">
            <v>11773</v>
          </cell>
          <cell r="K55">
            <v>-1.5480519169941545</v>
          </cell>
        </row>
        <row r="56">
          <cell r="G56">
            <v>24404.276</v>
          </cell>
          <cell r="I56">
            <v>31816</v>
          </cell>
          <cell r="K56">
            <v>-7411.723999999998</v>
          </cell>
        </row>
        <row r="57">
          <cell r="G57">
            <v>11201.439055199999</v>
          </cell>
          <cell r="I57">
            <v>11201</v>
          </cell>
        </row>
        <row r="58">
          <cell r="G58">
            <v>246932.60215173144</v>
          </cell>
          <cell r="I58">
            <v>226410</v>
          </cell>
        </row>
        <row r="60">
          <cell r="G60">
            <v>-23</v>
          </cell>
          <cell r="I60">
            <v>-23</v>
          </cell>
        </row>
        <row r="64">
          <cell r="G64">
            <v>10825.462510340274</v>
          </cell>
          <cell r="I64">
            <v>11226</v>
          </cell>
        </row>
        <row r="66">
          <cell r="G66">
            <v>76406.441</v>
          </cell>
          <cell r="I66">
            <v>105964</v>
          </cell>
        </row>
        <row r="67">
          <cell r="G67">
            <v>110000</v>
          </cell>
          <cell r="I67">
            <v>110000</v>
          </cell>
        </row>
        <row r="68">
          <cell r="G68">
            <v>175000</v>
          </cell>
          <cell r="I68">
            <v>140000</v>
          </cell>
        </row>
        <row r="69">
          <cell r="G69">
            <v>894.8245289635361</v>
          </cell>
          <cell r="I69">
            <v>1018</v>
          </cell>
        </row>
        <row r="70">
          <cell r="G70">
            <v>601877.478963242</v>
          </cell>
          <cell r="I70">
            <v>604138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Europlus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14">
          <cell r="EO14">
            <v>168728460</v>
          </cell>
        </row>
        <row r="39">
          <cell r="EO39">
            <v>41328361</v>
          </cell>
        </row>
        <row r="47">
          <cell r="EN47">
            <v>0</v>
          </cell>
        </row>
        <row r="52">
          <cell r="EP52">
            <v>-10327970</v>
          </cell>
        </row>
        <row r="53">
          <cell r="EP53">
            <v>0</v>
          </cell>
        </row>
        <row r="54">
          <cell r="EP54">
            <v>122903</v>
          </cell>
        </row>
        <row r="55">
          <cell r="EP55">
            <v>0</v>
          </cell>
        </row>
        <row r="175">
          <cell r="EP175">
            <v>21066111.3742</v>
          </cell>
        </row>
        <row r="176">
          <cell r="EP176">
            <v>271907533</v>
          </cell>
        </row>
        <row r="177">
          <cell r="EP177">
            <v>0</v>
          </cell>
        </row>
        <row r="192">
          <cell r="EP192">
            <v>41763920</v>
          </cell>
        </row>
        <row r="203">
          <cell r="EP203">
            <v>1100981149.3718</v>
          </cell>
        </row>
        <row r="245">
          <cell r="EN245">
            <v>34626072</v>
          </cell>
        </row>
        <row r="640">
          <cell r="EN640">
            <v>-197573834</v>
          </cell>
        </row>
        <row r="675">
          <cell r="EM675">
            <v>0</v>
          </cell>
          <cell r="EN675">
            <v>105773</v>
          </cell>
        </row>
        <row r="676">
          <cell r="EM676">
            <v>0</v>
          </cell>
          <cell r="EN676">
            <v>106302780</v>
          </cell>
        </row>
        <row r="677">
          <cell r="EM677">
            <v>0</v>
          </cell>
          <cell r="EN677">
            <v>0</v>
          </cell>
        </row>
        <row r="678">
          <cell r="EM678">
            <v>-761854.25</v>
          </cell>
          <cell r="EN678">
            <v>2201132.75</v>
          </cell>
        </row>
        <row r="679">
          <cell r="EM679">
            <v>0</v>
          </cell>
          <cell r="EN679">
            <v>0</v>
          </cell>
        </row>
        <row r="680">
          <cell r="EM680">
            <v>-263606</v>
          </cell>
          <cell r="EN680">
            <v>216328</v>
          </cell>
        </row>
        <row r="681">
          <cell r="EM681">
            <v>-342713</v>
          </cell>
          <cell r="EN681">
            <v>1212844</v>
          </cell>
        </row>
        <row r="682">
          <cell r="EM682">
            <v>-1873781</v>
          </cell>
          <cell r="EN682">
            <v>11616023</v>
          </cell>
        </row>
        <row r="683">
          <cell r="EN683">
            <v>4237794.1152</v>
          </cell>
        </row>
        <row r="684">
          <cell r="EM684">
            <v>-2446444</v>
          </cell>
          <cell r="EN684">
            <v>7956554</v>
          </cell>
        </row>
        <row r="704">
          <cell r="EM704">
            <v>-37524</v>
          </cell>
          <cell r="EN704">
            <v>-2080677</v>
          </cell>
        </row>
        <row r="705">
          <cell r="CF705">
            <v>0</v>
          </cell>
          <cell r="EM705">
            <v>-653504.0549450549</v>
          </cell>
          <cell r="EN705">
            <v>-9792204.054945055</v>
          </cell>
        </row>
        <row r="706">
          <cell r="EM706">
            <v>0</v>
          </cell>
          <cell r="EN706">
            <v>0</v>
          </cell>
        </row>
        <row r="707">
          <cell r="EM707">
            <v>0</v>
          </cell>
          <cell r="EN707">
            <v>98369</v>
          </cell>
        </row>
        <row r="708">
          <cell r="BV708">
            <v>0</v>
          </cell>
          <cell r="EM708">
            <v>-145.73333333335663</v>
          </cell>
          <cell r="EN708">
            <v>-2838.4533333333566</v>
          </cell>
        </row>
        <row r="709">
          <cell r="EM709">
            <v>4514.2513157894755</v>
          </cell>
          <cell r="EN709">
            <v>-964965.7486842105</v>
          </cell>
        </row>
        <row r="710">
          <cell r="EM710">
            <v>0</v>
          </cell>
          <cell r="EN710">
            <v>281322</v>
          </cell>
        </row>
        <row r="711">
          <cell r="EM711">
            <v>0</v>
          </cell>
          <cell r="EN711">
            <v>743368</v>
          </cell>
        </row>
        <row r="712">
          <cell r="EM712">
            <v>0</v>
          </cell>
          <cell r="EN712">
            <v>66869.90539999912</v>
          </cell>
        </row>
        <row r="713">
          <cell r="EM713">
            <v>-167767</v>
          </cell>
          <cell r="EN713">
            <v>2463243.38</v>
          </cell>
        </row>
        <row r="715">
          <cell r="EM715">
            <v>0</v>
          </cell>
        </row>
        <row r="716">
          <cell r="EM716">
            <v>-854426.5369625988</v>
          </cell>
        </row>
        <row r="751">
          <cell r="EN751">
            <v>-215948591.03781223</v>
          </cell>
        </row>
        <row r="752">
          <cell r="EN752">
            <v>3779699548.526598</v>
          </cell>
          <cell r="EO752">
            <v>145667529</v>
          </cell>
        </row>
        <row r="753">
          <cell r="EN753">
            <v>0</v>
          </cell>
        </row>
        <row r="754">
          <cell r="EN754">
            <v>157202666</v>
          </cell>
        </row>
        <row r="755">
          <cell r="EN755">
            <v>18929513.791666664</v>
          </cell>
        </row>
        <row r="756">
          <cell r="EN756">
            <v>49913889.25131579</v>
          </cell>
        </row>
        <row r="757">
          <cell r="EN757">
            <v>79661935.34</v>
          </cell>
        </row>
        <row r="758">
          <cell r="EN758">
            <v>59166516</v>
          </cell>
        </row>
        <row r="759">
          <cell r="EN759">
            <v>168765741.5862</v>
          </cell>
        </row>
        <row r="760">
          <cell r="EN760">
            <v>282390608.8775921</v>
          </cell>
        </row>
        <row r="766">
          <cell r="EN766">
            <v>-1014235477.0763001</v>
          </cell>
        </row>
        <row r="767">
          <cell r="EN767">
            <v>3380428259</v>
          </cell>
          <cell r="EO767">
            <v>104339168</v>
          </cell>
        </row>
        <row r="768">
          <cell r="EN768">
            <v>0</v>
          </cell>
        </row>
        <row r="769">
          <cell r="EN769">
            <v>144732802</v>
          </cell>
        </row>
        <row r="770">
          <cell r="EN770">
            <v>24658158.769765</v>
          </cell>
        </row>
        <row r="771">
          <cell r="EN771">
            <v>72794197</v>
          </cell>
        </row>
        <row r="772">
          <cell r="EN772">
            <v>60003427</v>
          </cell>
        </row>
        <row r="773">
          <cell r="EN773">
            <v>51785861</v>
          </cell>
        </row>
        <row r="774">
          <cell r="EN774">
            <v>122068285.39774202</v>
          </cell>
        </row>
        <row r="775">
          <cell r="EN775">
            <v>351726214.01000005</v>
          </cell>
        </row>
        <row r="782">
          <cell r="EN782">
            <v>97762</v>
          </cell>
        </row>
        <row r="783">
          <cell r="EN783">
            <v>-331508.94505494507</v>
          </cell>
        </row>
        <row r="784">
          <cell r="EN784">
            <v>0</v>
          </cell>
        </row>
        <row r="785">
          <cell r="EN785">
            <v>564015</v>
          </cell>
        </row>
        <row r="786">
          <cell r="EN786">
            <v>2633</v>
          </cell>
        </row>
        <row r="787">
          <cell r="EN787">
            <v>272334</v>
          </cell>
        </row>
        <row r="788">
          <cell r="EN788">
            <v>4956</v>
          </cell>
        </row>
        <row r="789">
          <cell r="EN789">
            <v>219654</v>
          </cell>
        </row>
        <row r="790">
          <cell r="EN790">
            <v>745645.2894</v>
          </cell>
        </row>
        <row r="791">
          <cell r="EN791">
            <v>928908</v>
          </cell>
        </row>
        <row r="917">
          <cell r="EM917">
            <v>-227523</v>
          </cell>
          <cell r="EN917">
            <v>0</v>
          </cell>
        </row>
        <row r="918">
          <cell r="EM918">
            <v>5280</v>
          </cell>
          <cell r="EN918">
            <v>2093698</v>
          </cell>
        </row>
        <row r="919">
          <cell r="EM919">
            <v>0</v>
          </cell>
          <cell r="EN919">
            <v>0</v>
          </cell>
        </row>
        <row r="920">
          <cell r="EM920">
            <v>0</v>
          </cell>
          <cell r="EN920">
            <v>9554</v>
          </cell>
        </row>
        <row r="921">
          <cell r="EM921">
            <v>0</v>
          </cell>
          <cell r="EN921">
            <v>0</v>
          </cell>
        </row>
        <row r="922">
          <cell r="EM922">
            <v>0</v>
          </cell>
          <cell r="EN922">
            <v>1904</v>
          </cell>
        </row>
        <row r="923">
          <cell r="EM923">
            <v>0</v>
          </cell>
          <cell r="EN923">
            <v>0</v>
          </cell>
        </row>
        <row r="924">
          <cell r="EM924">
            <v>0</v>
          </cell>
          <cell r="EN924">
            <v>12135</v>
          </cell>
        </row>
        <row r="925">
          <cell r="EM925">
            <v>-5280</v>
          </cell>
          <cell r="EN925">
            <v>0</v>
          </cell>
        </row>
        <row r="926">
          <cell r="EM926">
            <v>0</v>
          </cell>
          <cell r="EN926">
            <v>355</v>
          </cell>
        </row>
        <row r="928">
          <cell r="EM928">
            <v>-227523</v>
          </cell>
        </row>
        <row r="932">
          <cell r="EM932">
            <v>325328</v>
          </cell>
          <cell r="EN932">
            <v>-573722</v>
          </cell>
        </row>
        <row r="933">
          <cell r="EM933">
            <v>-619520</v>
          </cell>
          <cell r="EN933">
            <v>-2877737</v>
          </cell>
        </row>
        <row r="934">
          <cell r="EM934">
            <v>0</v>
          </cell>
          <cell r="EN934">
            <v>0</v>
          </cell>
        </row>
        <row r="935">
          <cell r="EM935">
            <v>0</v>
          </cell>
          <cell r="EN935">
            <v>817094</v>
          </cell>
        </row>
        <row r="936">
          <cell r="EM936">
            <v>0</v>
          </cell>
          <cell r="EN936">
            <v>-23740</v>
          </cell>
        </row>
        <row r="937">
          <cell r="EM937">
            <v>0</v>
          </cell>
          <cell r="EN937">
            <v>-88666</v>
          </cell>
        </row>
        <row r="938">
          <cell r="EM938">
            <v>0</v>
          </cell>
          <cell r="EN938">
            <v>0</v>
          </cell>
        </row>
        <row r="939">
          <cell r="EM939">
            <v>341546</v>
          </cell>
          <cell r="EN939">
            <v>-146134</v>
          </cell>
        </row>
        <row r="940">
          <cell r="EM940">
            <v>30308</v>
          </cell>
          <cell r="EN940">
            <v>-754071.2496</v>
          </cell>
        </row>
        <row r="941">
          <cell r="EM941">
            <v>420449</v>
          </cell>
          <cell r="EN941">
            <v>-284698</v>
          </cell>
        </row>
        <row r="943">
          <cell r="EM943">
            <v>498111</v>
          </cell>
        </row>
        <row r="962">
          <cell r="EN962">
            <v>38847</v>
          </cell>
        </row>
        <row r="963">
          <cell r="EN963">
            <v>-1505545</v>
          </cell>
        </row>
        <row r="964">
          <cell r="EN964">
            <v>0</v>
          </cell>
        </row>
        <row r="965">
          <cell r="EN965">
            <v>1505545</v>
          </cell>
        </row>
        <row r="966">
          <cell r="EN966">
            <v>0</v>
          </cell>
        </row>
        <row r="967">
          <cell r="EN967">
            <v>35908</v>
          </cell>
        </row>
        <row r="968">
          <cell r="EN968">
            <v>1097</v>
          </cell>
        </row>
        <row r="969">
          <cell r="EN969">
            <v>60889</v>
          </cell>
        </row>
        <row r="970">
          <cell r="EN970">
            <v>1295927.9552999998</v>
          </cell>
        </row>
        <row r="971">
          <cell r="EN971">
            <v>5093302</v>
          </cell>
        </row>
        <row r="978">
          <cell r="EN978">
            <v>0</v>
          </cell>
        </row>
        <row r="979">
          <cell r="EN979">
            <v>-588207.0549450549</v>
          </cell>
        </row>
        <row r="980">
          <cell r="EN980">
            <v>0</v>
          </cell>
        </row>
        <row r="981">
          <cell r="EN981">
            <v>0</v>
          </cell>
        </row>
        <row r="982">
          <cell r="EN982">
            <v>-145.73333333335663</v>
          </cell>
        </row>
        <row r="985">
          <cell r="EN985">
            <v>0</v>
          </cell>
        </row>
        <row r="986">
          <cell r="EN986">
            <v>0</v>
          </cell>
        </row>
        <row r="987">
          <cell r="EN987">
            <v>0</v>
          </cell>
        </row>
        <row r="1071">
          <cell r="EN1071">
            <v>58067567.064725995</v>
          </cell>
        </row>
        <row r="1072">
          <cell r="EN1072">
            <v>177953777.5862</v>
          </cell>
        </row>
        <row r="1090">
          <cell r="EN1090">
            <v>4237794.1152</v>
          </cell>
        </row>
        <row r="1151">
          <cell r="AX1151">
            <v>1295927.9552999998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 Inc Sttm-4 Leow"/>
      <sheetName val="Inc Sttm-workings"/>
      <sheetName val="gp margin-segment"/>
      <sheetName val="GP MARGIN"/>
      <sheetName val="Condensed BS-tcb"/>
      <sheetName val="BSHEET"/>
      <sheetName val="EQUITY-tcb"/>
      <sheetName val="NOTES"/>
      <sheetName val="Segment"/>
      <sheetName val="ASSOCIATE"/>
      <sheetName val="DEPN &amp; AMOR"/>
      <sheetName val="WEIGHTED-30 APR 2003"/>
      <sheetName val="WEIGHTED-31 JAN 2003"/>
      <sheetName val="WEIGHTED-31JULY2002"/>
      <sheetName val="FINANCE COST"/>
      <sheetName val="RPT"/>
      <sheetName val="Detailed CF-31.1.2003"/>
      <sheetName val="Condensed CF-31.1.2003"/>
      <sheetName val="CF-workings31.1.2003"/>
      <sheetName val="Workings"/>
      <sheetName val="CONT LIAB"/>
    </sheetNames>
    <sheetDataSet>
      <sheetData sheetId="0">
        <row r="1">
          <cell r="A1" t="str">
            <v>TALAM CORPORATION BERHAD (1120-H)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Land Vendor"/>
      <sheetName val="Loan Sch"/>
      <sheetName val="Cash &amp; Cash Eqv"/>
    </sheetNames>
    <sheetDataSet>
      <sheetData sheetId="1">
        <row r="82">
          <cell r="L82">
            <v>-53329.48583464282</v>
          </cell>
        </row>
        <row r="83">
          <cell r="L83">
            <v>-94416.06224096542</v>
          </cell>
        </row>
        <row r="84">
          <cell r="L84">
            <v>140513.51528080937</v>
          </cell>
        </row>
        <row r="86">
          <cell r="L86">
            <v>102133</v>
          </cell>
        </row>
        <row r="96">
          <cell r="L96">
            <v>-156309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35">
          <cell r="EN35">
            <v>7857971</v>
          </cell>
        </row>
        <row r="41">
          <cell r="EN41">
            <v>-13920119.3856</v>
          </cell>
        </row>
        <row r="47">
          <cell r="EN47">
            <v>5186082.9512</v>
          </cell>
        </row>
        <row r="50">
          <cell r="EN50">
            <v>36602523.705621265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Europlus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218">
          <cell r="EN218">
            <v>0.36122599244117737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C16">
      <selection activeCell="E24" sqref="E24"/>
    </sheetView>
  </sheetViews>
  <sheetFormatPr defaultColWidth="9.140625" defaultRowHeight="12.75"/>
  <cols>
    <col min="1" max="1" width="1.7109375" style="2" customWidth="1"/>
    <col min="2" max="2" width="22.140625" style="2" customWidth="1"/>
    <col min="3" max="3" width="5.57421875" style="2" customWidth="1"/>
    <col min="4" max="7" width="18.7109375" style="3" customWidth="1"/>
    <col min="8" max="8" width="10.8515625" style="2" customWidth="1"/>
    <col min="9" max="9" width="19.140625" style="2" customWidth="1"/>
    <col min="10" max="16384" width="9.140625" style="2" customWidth="1"/>
  </cols>
  <sheetData>
    <row r="1" ht="12.75">
      <c r="A1" s="1" t="s">
        <v>0</v>
      </c>
    </row>
    <row r="3" ht="12.75">
      <c r="B3" s="1" t="s">
        <v>1</v>
      </c>
    </row>
    <row r="4" ht="12.75">
      <c r="B4" s="1" t="s">
        <v>2</v>
      </c>
    </row>
    <row r="6" spans="4:7" ht="12.75">
      <c r="D6" s="4" t="s">
        <v>3</v>
      </c>
      <c r="E6" s="5" t="s">
        <v>4</v>
      </c>
      <c r="F6" s="5" t="str">
        <f>+D6</f>
        <v>2004</v>
      </c>
      <c r="G6" s="5" t="str">
        <f>+E6</f>
        <v>2003</v>
      </c>
    </row>
    <row r="7" spans="4:7" ht="12.75">
      <c r="D7" s="6" t="s">
        <v>5</v>
      </c>
      <c r="E7" s="7" t="s">
        <v>6</v>
      </c>
      <c r="F7" s="8" t="s">
        <v>7</v>
      </c>
      <c r="G7" s="8" t="str">
        <f>+F7</f>
        <v>3 month</v>
      </c>
    </row>
    <row r="8" spans="4:7" ht="12.75">
      <c r="D8" s="9" t="s">
        <v>8</v>
      </c>
      <c r="E8" s="10" t="str">
        <f>+D8</f>
        <v>Ended 30 April</v>
      </c>
      <c r="F8" s="10" t="s">
        <v>9</v>
      </c>
      <c r="G8" s="10" t="str">
        <f>+F8</f>
        <v>Cumulative to-date</v>
      </c>
    </row>
    <row r="9" spans="4:7" ht="12.75">
      <c r="D9" s="11" t="s">
        <v>10</v>
      </c>
      <c r="E9" s="11" t="s">
        <v>10</v>
      </c>
      <c r="F9" s="11" t="s">
        <v>10</v>
      </c>
      <c r="G9" s="11" t="s">
        <v>10</v>
      </c>
    </row>
    <row r="10" spans="4:7" ht="12.75">
      <c r="D10" s="12"/>
      <c r="E10" s="12"/>
      <c r="F10" s="12"/>
      <c r="G10" s="12"/>
    </row>
    <row r="11" spans="2:7" ht="12.75">
      <c r="B11" s="2" t="s">
        <v>11</v>
      </c>
      <c r="D11" s="12">
        <f>+'[1]Cond Inc Sttm-4 Leow'!D11</f>
        <v>302577.68886520003</v>
      </c>
      <c r="E11" s="12">
        <f>+'[1]Cond Inc Sttm-4 Leow'!E11</f>
        <v>219835</v>
      </c>
      <c r="F11" s="12">
        <f>+'[1]Cond Inc Sttm-4 Leow'!F11</f>
        <v>302577.68886520003</v>
      </c>
      <c r="G11" s="12">
        <f>+'[1]Cond Inc Sttm-4 Leow'!G11</f>
        <v>219835</v>
      </c>
    </row>
    <row r="12" spans="4:7" ht="12.75">
      <c r="D12" s="12"/>
      <c r="E12" s="12"/>
      <c r="F12" s="12"/>
      <c r="G12" s="12"/>
    </row>
    <row r="13" spans="2:9" ht="12.75">
      <c r="B13" s="2" t="s">
        <v>12</v>
      </c>
      <c r="D13" s="12">
        <f>+'[1]Cond Inc Sttm-4 Leow'!D13+'[1]Cond Inc Sttm-4 Leow'!D20</f>
        <v>-275050.9437359626</v>
      </c>
      <c r="E13" s="12">
        <f>+'[1]Cond Inc Sttm-4 Leow'!E13+'[1]Cond Inc Sttm-4 Leow'!E20</f>
        <v>-206417</v>
      </c>
      <c r="F13" s="12">
        <f>+'[1]Cond Inc Sttm-4 Leow'!F13+'[1]Cond Inc Sttm-4 Leow'!F20</f>
        <v>-275050.9437359626</v>
      </c>
      <c r="G13" s="12">
        <f>+'[1]Cond Inc Sttm-4 Leow'!G13+'[1]Cond Inc Sttm-4 Leow'!G20</f>
        <v>-206417</v>
      </c>
      <c r="I13" s="3"/>
    </row>
    <row r="14" spans="4:9" ht="12.75">
      <c r="D14" s="12"/>
      <c r="E14" s="12"/>
      <c r="F14" s="12"/>
      <c r="G14" s="12"/>
      <c r="I14" s="3"/>
    </row>
    <row r="15" spans="2:9" ht="12.75">
      <c r="B15" s="2" t="s">
        <v>13</v>
      </c>
      <c r="D15" s="12">
        <f>+'[1]Cond Inc Sttm-4 Leow'!D22</f>
        <v>6731.7488992</v>
      </c>
      <c r="E15" s="13">
        <f>+'[1]Cond Inc Sttm-4 Leow'!E22</f>
        <v>5060</v>
      </c>
      <c r="F15" s="12">
        <f>+'[1]Cond Inc Sttm-4 Leow'!F22</f>
        <v>6731.7488992</v>
      </c>
      <c r="G15" s="13">
        <f>+'[1]Cond Inc Sttm-4 Leow'!G22</f>
        <v>5060</v>
      </c>
      <c r="I15" s="3"/>
    </row>
    <row r="16" spans="2:9" ht="19.5" customHeight="1">
      <c r="B16" s="2" t="s">
        <v>14</v>
      </c>
      <c r="D16" s="14">
        <f>SUM(D11:D15)</f>
        <v>34258.49402843742</v>
      </c>
      <c r="E16" s="14">
        <f>SUM(E11:E15)</f>
        <v>18478</v>
      </c>
      <c r="F16" s="14">
        <f>SUM(F11:F15)</f>
        <v>34258.49402843742</v>
      </c>
      <c r="G16" s="14">
        <f>SUM(G11:G15)</f>
        <v>18478</v>
      </c>
      <c r="I16" s="3"/>
    </row>
    <row r="17" spans="4:9" ht="12.75" customHeight="1">
      <c r="D17" s="12"/>
      <c r="E17" s="12"/>
      <c r="F17" s="12"/>
      <c r="G17" s="12"/>
      <c r="I17" s="3"/>
    </row>
    <row r="18" spans="2:9" ht="12.75" customHeight="1">
      <c r="B18" s="2" t="s">
        <v>15</v>
      </c>
      <c r="D18" s="12">
        <f>+'[1]Cond Inc Sttm-4 Leow'!D27</f>
        <v>-3931.6742495999997</v>
      </c>
      <c r="E18" s="12">
        <f>+'[1]Cond Inc Sttm-4 Leow'!E27</f>
        <v>-4645</v>
      </c>
      <c r="F18" s="12">
        <f>+'[1]Cond Inc Sttm-4 Leow'!F27</f>
        <v>-3931.6742495999997</v>
      </c>
      <c r="G18" s="12">
        <f>+'[1]Cond Inc Sttm-4 Leow'!G27</f>
        <v>-4645</v>
      </c>
      <c r="I18" s="3"/>
    </row>
    <row r="19" spans="4:9" ht="12.75">
      <c r="D19" s="12"/>
      <c r="E19" s="12"/>
      <c r="F19" s="12">
        <f>+'[1]Inc Sttm-workings'!E32</f>
        <v>0</v>
      </c>
      <c r="G19" s="12"/>
      <c r="I19" s="3"/>
    </row>
    <row r="20" spans="2:9" ht="12.75">
      <c r="B20" s="2" t="s">
        <v>16</v>
      </c>
      <c r="D20" s="13">
        <f>+'[1]Cond Inc Sttm-4 Leow'!D29</f>
        <v>0</v>
      </c>
      <c r="E20" s="13">
        <f>+'[1]Cond Inc Sttm-4 Leow'!E29</f>
        <v>-46</v>
      </c>
      <c r="F20" s="13">
        <f>+'[1]Cond Inc Sttm-4 Leow'!F29</f>
        <v>0</v>
      </c>
      <c r="G20" s="13">
        <f>+'[1]Cond Inc Sttm-4 Leow'!G29</f>
        <v>-46</v>
      </c>
      <c r="I20" s="3"/>
    </row>
    <row r="21" spans="2:7" ht="19.5" customHeight="1">
      <c r="B21" s="2" t="s">
        <v>17</v>
      </c>
      <c r="D21" s="12">
        <f>SUM(D16:D20)</f>
        <v>30326.819778837416</v>
      </c>
      <c r="E21" s="12">
        <f>SUM(E16:E20)</f>
        <v>13787</v>
      </c>
      <c r="F21" s="12">
        <f>SUM(F16:F20)</f>
        <v>30326.819778837416</v>
      </c>
      <c r="G21" s="12">
        <f>SUM(G16:G20)</f>
        <v>13787</v>
      </c>
    </row>
    <row r="22" spans="4:7" ht="12.75">
      <c r="D22" s="12"/>
      <c r="E22" s="12"/>
      <c r="F22" s="12"/>
      <c r="G22" s="12"/>
    </row>
    <row r="23" spans="2:7" ht="12.75">
      <c r="B23" s="2" t="s">
        <v>18</v>
      </c>
      <c r="D23" s="13">
        <f>+'[1]Cond Inc Sttm-4 Leow'!D32</f>
        <v>-10205.067</v>
      </c>
      <c r="E23" s="13">
        <f>+'[1]Cond Inc Sttm-4 Leow'!E32</f>
        <v>-4275</v>
      </c>
      <c r="F23" s="13">
        <f>+'[1]Cond Inc Sttm-4 Leow'!F32</f>
        <v>-10205.067</v>
      </c>
      <c r="G23" s="13">
        <f>+'[1]Cond Inc Sttm-4 Leow'!G32</f>
        <v>-4275</v>
      </c>
    </row>
    <row r="24" spans="2:7" ht="19.5" customHeight="1">
      <c r="B24" s="2" t="s">
        <v>19</v>
      </c>
      <c r="D24" s="12">
        <f>SUM(D21:D23)</f>
        <v>20121.752778837417</v>
      </c>
      <c r="E24" s="12">
        <f>SUM(E21:E23)</f>
        <v>9512</v>
      </c>
      <c r="F24" s="12">
        <f>SUM(F21:F23)</f>
        <v>20121.752778837417</v>
      </c>
      <c r="G24" s="12">
        <f>SUM(G21:G23)</f>
        <v>9512</v>
      </c>
    </row>
    <row r="25" spans="4:7" ht="12.75">
      <c r="D25" s="12"/>
      <c r="E25" s="12"/>
      <c r="F25" s="12"/>
      <c r="G25" s="12"/>
    </row>
    <row r="26" spans="2:7" ht="12.75">
      <c r="B26" s="2" t="s">
        <v>20</v>
      </c>
      <c r="D26" s="13">
        <f>+'[1]Cond Inc Sttm-4 Leow'!D40</f>
        <v>400.39609796907143</v>
      </c>
      <c r="E26" s="13">
        <f>+'[1]Cond Inc Sttm-4 Leow'!E40</f>
        <v>1866</v>
      </c>
      <c r="F26" s="13">
        <f>+'[1]Cond Inc Sttm-4 Leow'!F40</f>
        <v>400.39609796907143</v>
      </c>
      <c r="G26" s="13">
        <f>+'[1]Cond Inc Sttm-4 Leow'!G40</f>
        <v>1866</v>
      </c>
    </row>
    <row r="27" spans="2:7" ht="19.5" customHeight="1">
      <c r="B27" s="2" t="s">
        <v>21</v>
      </c>
      <c r="D27" s="15">
        <f>SUM(D24:D26)</f>
        <v>20522.14887680649</v>
      </c>
      <c r="E27" s="15">
        <f>SUM(E24:E26)</f>
        <v>11378</v>
      </c>
      <c r="F27" s="15">
        <f>SUM(F24:F26)</f>
        <v>20522.14887680649</v>
      </c>
      <c r="G27" s="15">
        <f>SUM(G24:G26)</f>
        <v>11378</v>
      </c>
    </row>
    <row r="28" spans="4:7" ht="12.75">
      <c r="D28" s="12"/>
      <c r="E28" s="12"/>
      <c r="F28" s="12"/>
      <c r="G28" s="12"/>
    </row>
    <row r="29" spans="2:7" ht="12.75">
      <c r="B29" s="2" t="s">
        <v>22</v>
      </c>
      <c r="D29" s="16">
        <f>+'[1]Cond Inc Sttm-4 Leow'!D43</f>
        <v>3.641577936478953</v>
      </c>
      <c r="E29" s="16">
        <f>+'[1]Cond Inc Sttm-4 Leow'!E43</f>
        <v>5.284964466533513</v>
      </c>
      <c r="F29" s="16">
        <f>+'[1]Cond Inc Sttm-4 Leow'!F43</f>
        <v>3.6416098277590874</v>
      </c>
      <c r="G29" s="16">
        <f>+'[1]Cond Inc Sttm-4 Leow'!G43</f>
        <v>5.284964466533513</v>
      </c>
    </row>
    <row r="30" spans="2:7" ht="12.75">
      <c r="B30" s="17" t="s">
        <v>23</v>
      </c>
      <c r="D30" s="18">
        <f>'[1]Cond Inc Sttm-4 Leow'!D44</f>
        <v>3.397830613826934</v>
      </c>
      <c r="E30" s="18">
        <v>0</v>
      </c>
      <c r="F30" s="18">
        <f>'[1]Cond Inc Sttm-4 Leow'!F44</f>
        <v>3.397830613826934</v>
      </c>
      <c r="G30" s="18">
        <v>0</v>
      </c>
    </row>
    <row r="32" ht="12.75">
      <c r="B32" s="2" t="s">
        <v>24</v>
      </c>
    </row>
    <row r="33" spans="2:7" ht="12.75">
      <c r="B33" s="2" t="s">
        <v>25</v>
      </c>
      <c r="D33" s="15">
        <f>563551</f>
        <v>563551</v>
      </c>
      <c r="E33" s="15">
        <f>215492</f>
        <v>215492</v>
      </c>
      <c r="F33" s="15">
        <f>563551</f>
        <v>563551</v>
      </c>
      <c r="G33" s="15">
        <f>215492</f>
        <v>215492</v>
      </c>
    </row>
    <row r="38" ht="12.75">
      <c r="C38" s="2" t="s">
        <v>26</v>
      </c>
    </row>
    <row r="39" ht="12.75">
      <c r="C39" s="2" t="s">
        <v>27</v>
      </c>
    </row>
    <row r="41" ht="12.75">
      <c r="C41" s="2" t="s">
        <v>28</v>
      </c>
    </row>
    <row r="42" ht="12.75">
      <c r="C42" s="2" t="s">
        <v>29</v>
      </c>
    </row>
  </sheetData>
  <sheetProtection password="C5C9" sheet="1" objects="1" scenarios="1"/>
  <printOptions/>
  <pageMargins left="0.25" right="0.25" top="0.25" bottom="0.25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workbookViewId="0" topLeftCell="A50">
      <selection activeCell="F68" sqref="F68"/>
    </sheetView>
  </sheetViews>
  <sheetFormatPr defaultColWidth="9.140625" defaultRowHeight="12.75"/>
  <cols>
    <col min="1" max="1" width="1.7109375" style="2" customWidth="1"/>
    <col min="2" max="2" width="5.8515625" style="2" customWidth="1"/>
    <col min="3" max="3" width="9.140625" style="2" customWidth="1"/>
    <col min="4" max="4" width="10.57421875" style="2" customWidth="1"/>
    <col min="5" max="5" width="24.28125" style="2" customWidth="1"/>
    <col min="6" max="6" width="14.421875" style="2" customWidth="1"/>
    <col min="7" max="7" width="2.7109375" style="2" customWidth="1"/>
    <col min="8" max="8" width="14.8515625" style="2" customWidth="1"/>
    <col min="9" max="9" width="2.421875" style="2" customWidth="1"/>
    <col min="10" max="16384" width="9.140625" style="2" customWidth="1"/>
  </cols>
  <sheetData>
    <row r="1" spans="1:8" ht="12.75">
      <c r="A1" s="19" t="s">
        <v>0</v>
      </c>
      <c r="H1" s="20"/>
    </row>
    <row r="3" spans="2:9" ht="12.75">
      <c r="B3" s="19" t="s">
        <v>30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31</v>
      </c>
      <c r="C4" s="20"/>
      <c r="D4" s="20"/>
      <c r="E4" s="20"/>
      <c r="F4" s="21" t="s">
        <v>32</v>
      </c>
      <c r="H4" s="21" t="s">
        <v>33</v>
      </c>
      <c r="I4" s="20"/>
    </row>
    <row r="5" spans="1:9" ht="12.75">
      <c r="A5" s="20"/>
      <c r="B5" s="20"/>
      <c r="C5" s="20"/>
      <c r="D5" s="20"/>
      <c r="E5" s="20"/>
      <c r="F5" s="21" t="s">
        <v>34</v>
      </c>
      <c r="G5" s="21"/>
      <c r="H5" s="21" t="s">
        <v>35</v>
      </c>
      <c r="I5" s="20"/>
    </row>
    <row r="6" spans="1:9" ht="12.75">
      <c r="A6" s="20"/>
      <c r="B6" s="20"/>
      <c r="C6" s="20"/>
      <c r="D6" s="20"/>
      <c r="E6" s="20"/>
      <c r="F6" s="21" t="s">
        <v>36</v>
      </c>
      <c r="G6" s="21"/>
      <c r="H6" s="21" t="s">
        <v>37</v>
      </c>
      <c r="I6" s="20"/>
    </row>
    <row r="7" spans="1:9" ht="12.75">
      <c r="A7" s="20"/>
      <c r="B7" s="20"/>
      <c r="C7" s="20"/>
      <c r="D7" s="20"/>
      <c r="E7" s="20"/>
      <c r="G7" s="21"/>
      <c r="H7" s="21" t="s">
        <v>38</v>
      </c>
      <c r="I7" s="20"/>
    </row>
    <row r="8" spans="1:9" ht="12.75">
      <c r="A8" s="21"/>
      <c r="B8" s="20"/>
      <c r="C8" s="20"/>
      <c r="D8" s="20"/>
      <c r="E8" s="20"/>
      <c r="G8" s="21"/>
      <c r="H8" s="21" t="s">
        <v>39</v>
      </c>
      <c r="I8" s="20"/>
    </row>
    <row r="9" spans="1:9" ht="12.75">
      <c r="A9" s="21"/>
      <c r="B9" s="20"/>
      <c r="C9" s="20"/>
      <c r="D9" s="20"/>
      <c r="E9" s="20"/>
      <c r="F9" s="22" t="s">
        <v>40</v>
      </c>
      <c r="G9" s="23"/>
      <c r="H9" s="22" t="s">
        <v>41</v>
      </c>
      <c r="I9" s="20"/>
    </row>
    <row r="10" spans="1:9" ht="12.75">
      <c r="A10" s="21"/>
      <c r="B10" s="20"/>
      <c r="C10" s="20"/>
      <c r="D10" s="20"/>
      <c r="E10" s="20"/>
      <c r="F10" s="21" t="s">
        <v>42</v>
      </c>
      <c r="G10" s="21"/>
      <c r="H10" s="21" t="s">
        <v>42</v>
      </c>
      <c r="I10" s="20"/>
    </row>
    <row r="11" spans="1:2" ht="12.75">
      <c r="A11" s="24"/>
      <c r="B11" s="20"/>
    </row>
    <row r="12" ht="12.75">
      <c r="A12" s="24"/>
    </row>
    <row r="13" spans="1:9" ht="12.75">
      <c r="A13" s="24"/>
      <c r="B13" s="2" t="s">
        <v>43</v>
      </c>
      <c r="F13" s="3">
        <f>'[1]BSHEET'!G13</f>
        <v>278969.56095539447</v>
      </c>
      <c r="G13" s="3"/>
      <c r="H13" s="3">
        <f>'[1]BSHEET'!I13</f>
        <v>275225</v>
      </c>
      <c r="I13" s="25"/>
    </row>
    <row r="14" spans="1:8" ht="12.75">
      <c r="A14" s="24"/>
      <c r="B14" s="2" t="s">
        <v>44</v>
      </c>
      <c r="F14" s="3">
        <f>'[1]BSHEET'!G14</f>
        <v>742256.0644427242</v>
      </c>
      <c r="G14" s="3"/>
      <c r="H14" s="3">
        <f>'[1]BSHEET'!I14</f>
        <v>758540</v>
      </c>
    </row>
    <row r="15" spans="1:8" ht="12.75">
      <c r="A15" s="24"/>
      <c r="B15" s="2" t="s">
        <v>45</v>
      </c>
      <c r="F15" s="3">
        <f>'[1]BSHEET'!G15</f>
        <v>0</v>
      </c>
      <c r="G15" s="3"/>
      <c r="H15" s="3">
        <f>0</f>
        <v>0</v>
      </c>
    </row>
    <row r="16" spans="1:8" ht="12.75">
      <c r="A16" s="24"/>
      <c r="B16" s="2" t="s">
        <v>46</v>
      </c>
      <c r="F16" s="3">
        <f>'[1]BSHEET'!G16</f>
        <v>168140.78726999997</v>
      </c>
      <c r="G16" s="3"/>
      <c r="H16" s="3">
        <f>'[1]BSHEET'!I16</f>
        <v>168303</v>
      </c>
    </row>
    <row r="17" spans="1:8" ht="12.75" hidden="1">
      <c r="A17" s="24"/>
      <c r="B17" s="2" t="s">
        <v>47</v>
      </c>
      <c r="F17" s="3">
        <f>+'[1]BSHEET'!G17</f>
        <v>0.000309999942779541</v>
      </c>
      <c r="G17" s="3"/>
      <c r="H17" s="3">
        <v>0</v>
      </c>
    </row>
    <row r="18" spans="1:8" ht="12.75" hidden="1">
      <c r="A18" s="24"/>
      <c r="B18" s="2" t="s">
        <v>48</v>
      </c>
      <c r="F18" s="26" t="s">
        <v>49</v>
      </c>
      <c r="G18" s="3"/>
      <c r="H18" s="3">
        <f>'[1]BSHEET'!I18</f>
        <v>0</v>
      </c>
    </row>
    <row r="19" spans="1:8" ht="12.75">
      <c r="A19" s="24"/>
      <c r="B19" s="2" t="s">
        <v>50</v>
      </c>
      <c r="F19" s="3">
        <f>'[1]BSHEET'!G19</f>
        <v>3155.3999520286156</v>
      </c>
      <c r="G19" s="3"/>
      <c r="H19" s="3">
        <f>'[1]BSHEET'!I19</f>
        <v>3178</v>
      </c>
    </row>
    <row r="20" spans="1:8" ht="12.75">
      <c r="A20" s="24"/>
      <c r="B20" s="2" t="s">
        <v>51</v>
      </c>
      <c r="F20" s="3">
        <f>'[1]BSHEET'!G20</f>
        <v>50446.829</v>
      </c>
      <c r="G20" s="27"/>
      <c r="H20" s="27">
        <f>'[1]BSHEET'!I20</f>
        <v>70569</v>
      </c>
    </row>
    <row r="21" spans="1:8" ht="12.75">
      <c r="A21" s="24"/>
      <c r="B21" s="28" t="s">
        <v>52</v>
      </c>
      <c r="F21" s="3">
        <f>'[1]BSHEET'!G21</f>
        <v>76332.275</v>
      </c>
      <c r="G21" s="27"/>
      <c r="H21" s="27">
        <f>'[1]BSHEET'!I21</f>
        <v>76332</v>
      </c>
    </row>
    <row r="22" spans="1:8" ht="12.75">
      <c r="A22" s="24"/>
      <c r="B22" s="2" t="s">
        <v>53</v>
      </c>
      <c r="F22" s="3">
        <f>'[1]BSHEET'!G22</f>
        <v>4592.235</v>
      </c>
      <c r="G22" s="27"/>
      <c r="H22" s="29">
        <f>'[1]BSHEET'!I22</f>
        <v>4647</v>
      </c>
    </row>
    <row r="23" spans="1:8" ht="12.75">
      <c r="A23" s="24"/>
      <c r="F23" s="30">
        <f>SUM(F13:F22)</f>
        <v>1323893.1519301473</v>
      </c>
      <c r="G23" s="3"/>
      <c r="H23" s="30">
        <f>SUM(H13:H22)</f>
        <v>1356794</v>
      </c>
    </row>
    <row r="24" spans="1:8" ht="12.75">
      <c r="A24" s="24"/>
      <c r="F24" s="3"/>
      <c r="G24" s="3"/>
      <c r="H24" s="3"/>
    </row>
    <row r="25" spans="1:8" ht="12.75">
      <c r="A25" s="24"/>
      <c r="B25" s="2" t="s">
        <v>54</v>
      </c>
      <c r="F25" s="3"/>
      <c r="G25" s="3"/>
      <c r="H25" s="3"/>
    </row>
    <row r="26" spans="1:8" ht="12.75">
      <c r="A26" s="24"/>
      <c r="B26" s="20"/>
      <c r="C26" s="2" t="s">
        <v>55</v>
      </c>
      <c r="F26" s="14">
        <f>+'[1]BSHEET'!G26</f>
        <v>2174340.222919187</v>
      </c>
      <c r="G26" s="3"/>
      <c r="H26" s="14">
        <f>'[1]BSHEET'!I26</f>
        <v>1991534</v>
      </c>
    </row>
    <row r="27" spans="1:8" ht="12.75">
      <c r="A27" s="24"/>
      <c r="B27" s="20"/>
      <c r="C27" s="2" t="s">
        <v>56</v>
      </c>
      <c r="F27" s="12">
        <f>+'[1]BSHEET'!G27</f>
        <v>131747.6758269</v>
      </c>
      <c r="G27" s="3"/>
      <c r="H27" s="12">
        <f>'[1]BSHEET'!I27</f>
        <v>131748</v>
      </c>
    </row>
    <row r="28" spans="1:10" ht="12.75">
      <c r="A28" s="24"/>
      <c r="B28" s="20"/>
      <c r="C28" s="2" t="s">
        <v>57</v>
      </c>
      <c r="F28" s="12">
        <f>+'[1]BSHEET'!G29+'[1]BSHEET'!G30+'[1]BSHEET'!G28-SUM(0)</f>
        <v>602494.6615239002</v>
      </c>
      <c r="G28" s="3"/>
      <c r="H28" s="12">
        <f>SUM('[1]BSHEET'!I28:I30)</f>
        <v>551540</v>
      </c>
      <c r="J28" s="25"/>
    </row>
    <row r="29" spans="1:8" ht="12.75">
      <c r="A29" s="24"/>
      <c r="C29" s="2" t="s">
        <v>58</v>
      </c>
      <c r="F29" s="12">
        <f>+'[1]BSHEET'!G31</f>
        <v>292973.64437419997</v>
      </c>
      <c r="G29" s="3"/>
      <c r="H29" s="12">
        <f>'[1]BSHEET'!I31</f>
        <v>310456</v>
      </c>
    </row>
    <row r="30" spans="1:10" ht="12.75">
      <c r="A30" s="24"/>
      <c r="C30" s="2" t="s">
        <v>59</v>
      </c>
      <c r="E30" s="25"/>
      <c r="F30" s="15">
        <f>SUM(F26:F29)</f>
        <v>3201556.2046441874</v>
      </c>
      <c r="G30" s="27"/>
      <c r="H30" s="15">
        <f>SUM(H26:H29)</f>
        <v>2985278</v>
      </c>
      <c r="I30" s="25"/>
      <c r="J30" s="25"/>
    </row>
    <row r="31" spans="1:8" ht="12.75">
      <c r="A31" s="24"/>
      <c r="F31" s="14"/>
      <c r="G31" s="3"/>
      <c r="H31" s="14"/>
    </row>
    <row r="32" spans="1:8" ht="12.75">
      <c r="A32" s="24"/>
      <c r="B32" s="2" t="s">
        <v>60</v>
      </c>
      <c r="F32" s="12"/>
      <c r="G32" s="3"/>
      <c r="H32" s="12"/>
    </row>
    <row r="33" spans="1:8" ht="12.75">
      <c r="A33" s="24"/>
      <c r="C33" s="2" t="s">
        <v>61</v>
      </c>
      <c r="F33" s="12">
        <f>+'[1]BSHEET'!G37</f>
        <v>515880.71861730004</v>
      </c>
      <c r="G33" s="3"/>
      <c r="H33" s="12">
        <f>'[1]BSHEET'!I37</f>
        <v>411181</v>
      </c>
    </row>
    <row r="34" spans="1:8" ht="12.75">
      <c r="A34" s="24"/>
      <c r="C34" s="2" t="s">
        <v>62</v>
      </c>
      <c r="F34" s="12">
        <f>+'[1]BSHEET'!G38+'[1]BSHEET'!G39+'[1]BSHEET'!G40+'[1]BSHEET'!G36-F35-F36-F37</f>
        <v>722131.107148865</v>
      </c>
      <c r="G34" s="3"/>
      <c r="H34" s="12">
        <f>'[1]BSHEET'!I39</f>
        <v>631007</v>
      </c>
    </row>
    <row r="35" spans="1:8" ht="12.75">
      <c r="A35" s="24"/>
      <c r="C35" s="2" t="s">
        <v>63</v>
      </c>
      <c r="F35" s="12">
        <f>329895</f>
        <v>329895</v>
      </c>
      <c r="G35" s="3"/>
      <c r="H35" s="12">
        <f>70525+345276</f>
        <v>415801</v>
      </c>
    </row>
    <row r="36" spans="1:8" ht="12.75">
      <c r="A36" s="24"/>
      <c r="C36" s="2" t="s">
        <v>64</v>
      </c>
      <c r="F36" s="12">
        <f>322260-(44853)</f>
        <v>277407</v>
      </c>
      <c r="G36" s="3"/>
      <c r="H36" s="12">
        <f>322260</f>
        <v>322260</v>
      </c>
    </row>
    <row r="37" spans="1:8" ht="12.75">
      <c r="A37" s="24"/>
      <c r="C37" s="2" t="s">
        <v>65</v>
      </c>
      <c r="F37" s="12">
        <f>('[2]Consol'!$EP$203/1000)-F35-F36</f>
        <v>493679.1493718</v>
      </c>
      <c r="G37" s="3"/>
      <c r="H37" s="12">
        <f>'[1]BSHEET'!I36+'[1]BSHEET'!I40-H35-H36</f>
        <v>404157</v>
      </c>
    </row>
    <row r="38" spans="1:8" ht="12.75">
      <c r="A38" s="24"/>
      <c r="C38" s="2" t="s">
        <v>18</v>
      </c>
      <c r="F38" s="12">
        <f>+'[1]BSHEET'!G41</f>
        <v>184913.875</v>
      </c>
      <c r="G38" s="3"/>
      <c r="H38" s="12">
        <f>'[1]BSHEET'!I41</f>
        <v>179302</v>
      </c>
    </row>
    <row r="39" spans="1:8" ht="12.75" hidden="1">
      <c r="A39" s="24"/>
      <c r="C39" s="2" t="s">
        <v>66</v>
      </c>
      <c r="F39" s="12">
        <v>0</v>
      </c>
      <c r="G39" s="3"/>
      <c r="H39" s="12">
        <v>0</v>
      </c>
    </row>
    <row r="40" spans="1:8" ht="12.75">
      <c r="A40" s="24"/>
      <c r="C40" s="2" t="s">
        <v>67</v>
      </c>
      <c r="F40" s="15">
        <f>SUM(F33:F39)</f>
        <v>2523906.850137965</v>
      </c>
      <c r="G40" s="27"/>
      <c r="H40" s="15">
        <f>SUM(H33:H39)</f>
        <v>2363708</v>
      </c>
    </row>
    <row r="41" spans="1:8" ht="12.75">
      <c r="A41" s="24"/>
      <c r="F41" s="27"/>
      <c r="G41" s="27"/>
      <c r="H41" s="27"/>
    </row>
    <row r="42" spans="1:8" ht="12.75">
      <c r="A42" s="24"/>
      <c r="B42" s="2" t="s">
        <v>68</v>
      </c>
      <c r="C42" s="20"/>
      <c r="D42" s="20"/>
      <c r="F42" s="3">
        <f>F30-F40</f>
        <v>677649.3545062225</v>
      </c>
      <c r="G42" s="27"/>
      <c r="H42" s="3">
        <f>H30-H40</f>
        <v>621570</v>
      </c>
    </row>
    <row r="43" spans="1:8" ht="12.75">
      <c r="A43" s="24"/>
      <c r="B43" s="20"/>
      <c r="C43" s="20"/>
      <c r="D43" s="20"/>
      <c r="F43" s="3"/>
      <c r="G43" s="27"/>
      <c r="H43" s="3"/>
    </row>
    <row r="44" spans="1:8" s="32" customFormat="1" ht="15.75" thickBot="1">
      <c r="A44" s="31"/>
      <c r="B44" s="32" t="s">
        <v>69</v>
      </c>
      <c r="F44" s="33">
        <f>+F23+F42</f>
        <v>2001542.5064363698</v>
      </c>
      <c r="G44" s="34"/>
      <c r="H44" s="33">
        <f>+H23+H42</f>
        <v>1978364</v>
      </c>
    </row>
    <row r="45" spans="1:8" ht="12.75">
      <c r="A45" s="24"/>
      <c r="F45" s="3"/>
      <c r="G45" s="3"/>
      <c r="H45" s="3"/>
    </row>
    <row r="46" spans="1:8" ht="12.75">
      <c r="A46" s="24"/>
      <c r="F46" s="3"/>
      <c r="G46" s="3"/>
      <c r="H46" s="3"/>
    </row>
    <row r="47" spans="1:8" ht="12.75">
      <c r="A47" s="24"/>
      <c r="B47" s="2" t="s">
        <v>70</v>
      </c>
      <c r="F47" s="3"/>
      <c r="G47" s="3"/>
      <c r="H47" s="3"/>
    </row>
    <row r="48" spans="1:8" ht="12.75">
      <c r="A48" s="24"/>
      <c r="F48" s="3"/>
      <c r="G48" s="3"/>
      <c r="H48" s="3"/>
    </row>
    <row r="49" spans="1:8" ht="12.75">
      <c r="A49" s="24"/>
      <c r="B49" s="2" t="s">
        <v>71</v>
      </c>
      <c r="F49" s="3">
        <f>SUM('[1]BSHEET'!G52)-F50</f>
        <v>573075.1059999999</v>
      </c>
      <c r="G49" s="3"/>
      <c r="H49" s="3">
        <f>'[1]BSHEET'!I52-H50</f>
        <v>548747</v>
      </c>
    </row>
    <row r="50" spans="1:8" ht="12.75">
      <c r="A50" s="24"/>
      <c r="B50" s="2" t="s">
        <v>72</v>
      </c>
      <c r="F50" s="29">
        <f>'[2]Consol'!$EN$245/1000</f>
        <v>34626.072</v>
      </c>
      <c r="G50" s="3"/>
      <c r="H50" s="29">
        <f>59187-20-7624</f>
        <v>51543</v>
      </c>
    </row>
    <row r="51" spans="1:8" ht="12.75">
      <c r="A51" s="24"/>
      <c r="F51" s="3">
        <f>SUM(F49:F50)</f>
        <v>607701.178</v>
      </c>
      <c r="G51" s="3"/>
      <c r="H51" s="3">
        <f>SUM(H49:H50)</f>
        <v>600290</v>
      </c>
    </row>
    <row r="52" spans="1:8" ht="12.75">
      <c r="A52" s="24"/>
      <c r="B52" s="2" t="s">
        <v>73</v>
      </c>
      <c r="F52" s="29">
        <f>'[1]BSHEET'!G60</f>
        <v>-23</v>
      </c>
      <c r="G52" s="3"/>
      <c r="H52" s="29">
        <f>'[1]BSHEET'!I60</f>
        <v>-23</v>
      </c>
    </row>
    <row r="53" spans="1:8" ht="12.75">
      <c r="A53" s="24"/>
      <c r="F53" s="3">
        <f>SUM(F51:F52)</f>
        <v>607678.178</v>
      </c>
      <c r="G53" s="3"/>
      <c r="H53" s="3">
        <f>SUM(H51:H52)</f>
        <v>600267</v>
      </c>
    </row>
    <row r="54" spans="1:8" ht="12.75">
      <c r="A54" s="24"/>
      <c r="B54" s="2" t="s">
        <v>74</v>
      </c>
      <c r="F54" s="29">
        <f>SUM('[1]BSHEET'!G54:G58)</f>
        <v>418860.1221550144</v>
      </c>
      <c r="G54" s="3"/>
      <c r="H54" s="29">
        <f>SUM('[1]BSHEET'!I54:I58)</f>
        <v>405751</v>
      </c>
    </row>
    <row r="55" spans="1:8" s="32" customFormat="1" ht="15">
      <c r="A55" s="31"/>
      <c r="B55" s="32" t="s">
        <v>75</v>
      </c>
      <c r="E55" s="35"/>
      <c r="F55" s="36">
        <f>SUM(F53:F54)</f>
        <v>1026538.3001550144</v>
      </c>
      <c r="G55" s="36"/>
      <c r="H55" s="36">
        <f>SUM(H53:H54)</f>
        <v>1006018</v>
      </c>
    </row>
    <row r="56" spans="1:8" ht="12.75">
      <c r="A56" s="24"/>
      <c r="E56" s="25"/>
      <c r="F56" s="3"/>
      <c r="G56" s="3"/>
      <c r="H56" s="3"/>
    </row>
    <row r="57" spans="1:8" ht="12.75">
      <c r="A57" s="24"/>
      <c r="B57" s="2" t="s">
        <v>76</v>
      </c>
      <c r="F57" s="27">
        <f>+'[1]BSHEET'!G64</f>
        <v>10825.462510340274</v>
      </c>
      <c r="G57" s="27"/>
      <c r="H57" s="27">
        <f>'[1]BSHEET'!I64</f>
        <v>11226</v>
      </c>
    </row>
    <row r="58" spans="1:8" ht="12.75">
      <c r="A58" s="24"/>
      <c r="F58" s="27"/>
      <c r="G58" s="27"/>
      <c r="H58" s="27"/>
    </row>
    <row r="59" spans="1:8" ht="12.75">
      <c r="A59" s="24"/>
      <c r="B59" s="2" t="s">
        <v>77</v>
      </c>
      <c r="F59" s="27"/>
      <c r="G59" s="27"/>
      <c r="H59" s="27"/>
    </row>
    <row r="60" spans="1:8" ht="12.75">
      <c r="A60" s="24"/>
      <c r="C60" s="2" t="s">
        <v>78</v>
      </c>
      <c r="F60" s="27">
        <f>+'[1]BSHEET'!G66+'[1]BSHEET'!G67+'[1]BSHEET'!G68</f>
        <v>361406.441</v>
      </c>
      <c r="G60" s="3"/>
      <c r="H60" s="27">
        <f>SUM('[1]BSHEET'!I66:I68)</f>
        <v>355964</v>
      </c>
    </row>
    <row r="61" spans="1:8" ht="12.75">
      <c r="A61" s="24"/>
      <c r="C61" s="2" t="s">
        <v>79</v>
      </c>
      <c r="F61" s="27">
        <f>328112+(44853)</f>
        <v>372965</v>
      </c>
      <c r="G61" s="3"/>
      <c r="H61" s="27">
        <f>372965</f>
        <v>372965</v>
      </c>
    </row>
    <row r="62" spans="1:8" ht="12.75">
      <c r="A62" s="24"/>
      <c r="C62" s="2" t="s">
        <v>63</v>
      </c>
      <c r="F62" s="27">
        <f>(-'[2]Consol'!$EN$640)/1000</f>
        <v>197573.834</v>
      </c>
      <c r="G62" s="3"/>
      <c r="H62" s="27">
        <f>199835</f>
        <v>199835</v>
      </c>
    </row>
    <row r="63" spans="1:8" ht="12.75">
      <c r="A63" s="24"/>
      <c r="C63" s="2" t="s">
        <v>80</v>
      </c>
      <c r="F63" s="27">
        <f>+'[1]BSHEET'!G69+'[1]BSHEET'!G70-F61-F62</f>
        <v>32233.469492205564</v>
      </c>
      <c r="G63" s="3"/>
      <c r="H63" s="27">
        <f>SUM('[1]BSHEET'!I69:I70)-H61-H62</f>
        <v>32356</v>
      </c>
    </row>
    <row r="64" spans="1:8" ht="12.75">
      <c r="A64" s="24"/>
      <c r="F64" s="27"/>
      <c r="G64" s="3"/>
      <c r="H64" s="3"/>
    </row>
    <row r="65" spans="1:8" s="32" customFormat="1" ht="15.75" thickBot="1">
      <c r="A65" s="31"/>
      <c r="B65" s="32" t="s">
        <v>81</v>
      </c>
      <c r="F65" s="33">
        <f>SUM(F55:F63)</f>
        <v>2001542.5071575604</v>
      </c>
      <c r="G65" s="34"/>
      <c r="H65" s="33">
        <f>SUM(H55:H63)</f>
        <v>1978364</v>
      </c>
    </row>
    <row r="66" spans="1:8" ht="12.75" hidden="1">
      <c r="A66" s="24"/>
      <c r="F66" s="3">
        <f>+F44-F65</f>
        <v>-0.0007211905904114246</v>
      </c>
      <c r="G66" s="27"/>
      <c r="H66" s="3">
        <f>+H44-H65</f>
        <v>0</v>
      </c>
    </row>
    <row r="67" spans="6:8" ht="12.75">
      <c r="F67" s="25"/>
      <c r="H67" s="25"/>
    </row>
    <row r="68" spans="2:8" ht="12.75">
      <c r="B68" s="2" t="s">
        <v>82</v>
      </c>
      <c r="C68" s="20"/>
      <c r="D68" s="20"/>
      <c r="E68" s="20"/>
      <c r="F68" s="37"/>
      <c r="G68" s="37"/>
      <c r="H68" s="37"/>
    </row>
    <row r="69" spans="2:8" ht="13.5" thickBot="1">
      <c r="B69" s="2" t="s">
        <v>83</v>
      </c>
      <c r="F69" s="38">
        <f>(+F55-F19-F50)/573075</f>
        <v>1.7253532752309657</v>
      </c>
      <c r="G69" s="39"/>
      <c r="H69" s="38">
        <f>(+H55-H19-H50)/H49</f>
        <v>1.733580320256876</v>
      </c>
    </row>
    <row r="70" spans="2:7" ht="13.5" hidden="1" thickTop="1">
      <c r="B70" s="2" t="s">
        <v>84</v>
      </c>
      <c r="G70" s="40"/>
    </row>
    <row r="71" spans="2:8" ht="14.25" hidden="1" thickBot="1" thickTop="1">
      <c r="B71" s="2" t="s">
        <v>85</v>
      </c>
      <c r="F71" s="38">
        <f>(+F55-F19)/(+F49-212)</f>
        <v>1.7864353446475674</v>
      </c>
      <c r="G71" s="39"/>
      <c r="H71" s="38">
        <f>(+H55-H19)/(+H49-142)</f>
        <v>1.8279818813171589</v>
      </c>
    </row>
    <row r="72" ht="13.5" thickTop="1"/>
    <row r="73" spans="6:7" ht="12.75">
      <c r="F73" s="41"/>
      <c r="G73" s="41"/>
    </row>
    <row r="74" ht="12.75">
      <c r="D74" s="42"/>
    </row>
    <row r="75" ht="12.75">
      <c r="C75" s="42" t="s">
        <v>86</v>
      </c>
    </row>
    <row r="76" ht="12.75">
      <c r="C76" s="42" t="s">
        <v>87</v>
      </c>
    </row>
  </sheetData>
  <sheetProtection password="C5C9" sheet="1" objects="1" scenarios="1"/>
  <printOptions/>
  <pageMargins left="0.25" right="0.25" top="0.25" bottom="0.25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47">
      <selection activeCell="D51" sqref="D51"/>
    </sheetView>
  </sheetViews>
  <sheetFormatPr defaultColWidth="9.140625" defaultRowHeight="12.75"/>
  <cols>
    <col min="1" max="1" width="1.7109375" style="42" customWidth="1"/>
    <col min="2" max="2" width="62.00390625" style="42" customWidth="1"/>
    <col min="3" max="4" width="16.7109375" style="43" customWidth="1"/>
    <col min="5" max="5" width="14.7109375" style="43" customWidth="1"/>
    <col min="6" max="9" width="16.7109375" style="43" customWidth="1"/>
    <col min="10" max="11" width="9.140625" style="42" customWidth="1"/>
    <col min="12" max="13" width="11.28125" style="42" customWidth="1"/>
    <col min="14" max="16384" width="9.140625" style="42" customWidth="1"/>
  </cols>
  <sheetData>
    <row r="1" ht="12.75">
      <c r="A1" s="19" t="str">
        <f>+'[3]Condensed Inc Sttm-TCB(annon)'!A1</f>
        <v>TALAM CORPORATION BERHAD (1120-H)</v>
      </c>
    </row>
    <row r="3" ht="12.75">
      <c r="B3" s="19" t="s">
        <v>88</v>
      </c>
    </row>
    <row r="4" ht="12.75">
      <c r="B4" s="19" t="s">
        <v>2</v>
      </c>
    </row>
    <row r="5" ht="12.75">
      <c r="E5" s="44" t="s">
        <v>89</v>
      </c>
    </row>
    <row r="6" ht="12.75">
      <c r="E6" s="44" t="s">
        <v>90</v>
      </c>
    </row>
    <row r="7" spans="3:8" ht="12.75">
      <c r="C7" s="44" t="s">
        <v>91</v>
      </c>
      <c r="D7" s="44" t="s">
        <v>92</v>
      </c>
      <c r="E7" s="44" t="s">
        <v>93</v>
      </c>
      <c r="F7" s="44" t="s">
        <v>94</v>
      </c>
      <c r="G7" s="44" t="s">
        <v>94</v>
      </c>
      <c r="H7" s="44" t="s">
        <v>95</v>
      </c>
    </row>
    <row r="8" spans="2:9" ht="12.75">
      <c r="B8" s="45" t="s">
        <v>96</v>
      </c>
      <c r="C8" s="46" t="s">
        <v>97</v>
      </c>
      <c r="D8" s="46" t="s">
        <v>98</v>
      </c>
      <c r="E8" s="46" t="s">
        <v>99</v>
      </c>
      <c r="F8" s="46" t="s">
        <v>100</v>
      </c>
      <c r="G8" s="46" t="s">
        <v>101</v>
      </c>
      <c r="H8" s="46" t="s">
        <v>102</v>
      </c>
      <c r="I8" s="46" t="s">
        <v>103</v>
      </c>
    </row>
    <row r="9" spans="2:9" ht="12.75">
      <c r="B9" s="45"/>
      <c r="C9" s="47"/>
      <c r="D9" s="47"/>
      <c r="E9" s="47" t="s">
        <v>104</v>
      </c>
      <c r="F9" s="47"/>
      <c r="G9" s="47"/>
      <c r="H9" s="47"/>
      <c r="I9" s="47"/>
    </row>
    <row r="10" spans="2:12" ht="12.75">
      <c r="B10" s="48"/>
      <c r="C10" s="44" t="s">
        <v>105</v>
      </c>
      <c r="D10" s="44" t="s">
        <v>105</v>
      </c>
      <c r="E10" s="44" t="s">
        <v>105</v>
      </c>
      <c r="F10" s="44" t="s">
        <v>105</v>
      </c>
      <c r="G10" s="44" t="s">
        <v>105</v>
      </c>
      <c r="H10" s="44" t="s">
        <v>105</v>
      </c>
      <c r="I10" s="44" t="s">
        <v>105</v>
      </c>
      <c r="L10" s="49"/>
    </row>
    <row r="12" spans="2:9" ht="12.75">
      <c r="B12" s="42" t="s">
        <v>106</v>
      </c>
      <c r="C12" s="43">
        <f aca="true" t="shared" si="0" ref="C12:H12">C53</f>
        <v>600290</v>
      </c>
      <c r="D12" s="43">
        <f t="shared" si="0"/>
        <v>-23</v>
      </c>
      <c r="E12" s="43">
        <f t="shared" si="0"/>
        <v>31816</v>
      </c>
      <c r="F12" s="43">
        <f t="shared" si="0"/>
        <v>147525</v>
      </c>
      <c r="G12" s="43">
        <f t="shared" si="0"/>
        <v>0</v>
      </c>
      <c r="H12" s="43">
        <f t="shared" si="0"/>
        <v>226410</v>
      </c>
      <c r="I12" s="43">
        <f>SUM(C12:H12)</f>
        <v>1006018</v>
      </c>
    </row>
    <row r="14" spans="2:9" ht="12.75">
      <c r="B14" s="42" t="s">
        <v>107</v>
      </c>
      <c r="C14" s="50">
        <f>0</f>
        <v>0</v>
      </c>
      <c r="D14" s="43">
        <f>0</f>
        <v>0</v>
      </c>
      <c r="E14" s="43">
        <f>0</f>
        <v>0</v>
      </c>
      <c r="F14" s="43">
        <f>0</f>
        <v>0</v>
      </c>
      <c r="G14" s="43">
        <f>0</f>
        <v>0</v>
      </c>
      <c r="H14" s="43">
        <f>0</f>
        <v>0</v>
      </c>
      <c r="I14" s="43">
        <f>SUM(C14:H14)</f>
        <v>0</v>
      </c>
    </row>
    <row r="16" spans="2:9" ht="12.75">
      <c r="B16" s="42" t="s">
        <v>108</v>
      </c>
      <c r="C16" s="43">
        <f>0</f>
        <v>0</v>
      </c>
      <c r="D16" s="43">
        <f>0</f>
        <v>0</v>
      </c>
      <c r="E16" s="43">
        <f>0</f>
        <v>0</v>
      </c>
      <c r="F16" s="43">
        <f>0</f>
        <v>0</v>
      </c>
      <c r="G16" s="43">
        <f>0</f>
        <v>0</v>
      </c>
      <c r="H16" s="43">
        <f>0</f>
        <v>0</v>
      </c>
      <c r="I16" s="43">
        <f>SUM(C16:H16)</f>
        <v>0</v>
      </c>
    </row>
    <row r="18" spans="2:9" ht="12.75">
      <c r="B18" s="42" t="s">
        <v>109</v>
      </c>
      <c r="C18" s="50">
        <f>(22186890-15103690+2141336-1813036)/1000</f>
        <v>7411.5</v>
      </c>
      <c r="D18" s="43">
        <f>0</f>
        <v>0</v>
      </c>
      <c r="E18" s="43">
        <f>'[1]BSHEET'!K56</f>
        <v>-7411.723999999998</v>
      </c>
      <c r="F18" s="43">
        <f>0</f>
        <v>0</v>
      </c>
      <c r="G18" s="43">
        <f>0</f>
        <v>0</v>
      </c>
      <c r="H18" s="43">
        <f>0</f>
        <v>0</v>
      </c>
      <c r="I18" s="43">
        <f>SUM(C18:H18)</f>
        <v>-0.22399999999834108</v>
      </c>
    </row>
    <row r="20" spans="2:9" ht="12.75">
      <c r="B20" s="42" t="s">
        <v>110</v>
      </c>
      <c r="C20" s="43">
        <f>0</f>
        <v>0</v>
      </c>
      <c r="D20" s="43">
        <f>0</f>
        <v>0</v>
      </c>
      <c r="E20" s="43">
        <f>0</f>
        <v>0</v>
      </c>
      <c r="F20" s="43">
        <f>0</f>
        <v>0</v>
      </c>
      <c r="G20" s="43">
        <f>0</f>
        <v>0</v>
      </c>
      <c r="H20" s="43">
        <f>0</f>
        <v>0</v>
      </c>
      <c r="I20" s="43">
        <f>SUM(C20:H20)</f>
        <v>0</v>
      </c>
    </row>
    <row r="22" spans="2:9" ht="12.75">
      <c r="B22" s="42" t="s">
        <v>111</v>
      </c>
      <c r="C22" s="43">
        <f>0</f>
        <v>0</v>
      </c>
      <c r="D22" s="43">
        <f>0</f>
        <v>0</v>
      </c>
      <c r="E22" s="43">
        <f>0</f>
        <v>0</v>
      </c>
      <c r="F22" s="43">
        <f>0</f>
        <v>0</v>
      </c>
      <c r="G22" s="43">
        <f>0</f>
        <v>0</v>
      </c>
      <c r="H22" s="43">
        <f>0</f>
        <v>0</v>
      </c>
      <c r="I22" s="43">
        <f>SUM(C22:H22)</f>
        <v>0</v>
      </c>
    </row>
    <row r="24" spans="2:9" ht="12.75">
      <c r="B24" s="42" t="s">
        <v>112</v>
      </c>
      <c r="C24" s="43">
        <f>0</f>
        <v>0</v>
      </c>
      <c r="D24" s="43">
        <f>0</f>
        <v>0</v>
      </c>
      <c r="E24" s="43">
        <f>0</f>
        <v>0</v>
      </c>
      <c r="F24" s="50">
        <f>'[1]BSHEET'!K55</f>
        <v>-1.5480519169941545</v>
      </c>
      <c r="G24" s="43">
        <f>0</f>
        <v>0</v>
      </c>
      <c r="H24" s="43">
        <f>0</f>
        <v>0</v>
      </c>
      <c r="I24" s="43">
        <f>SUM(C24:H24)</f>
        <v>-1.5480519169941545</v>
      </c>
    </row>
    <row r="25" ht="12.75">
      <c r="F25" s="50"/>
    </row>
    <row r="26" spans="2:9" ht="12.75">
      <c r="B26" s="42" t="s">
        <v>21</v>
      </c>
      <c r="C26" s="51">
        <f>0</f>
        <v>0</v>
      </c>
      <c r="D26" s="51">
        <f>0</f>
        <v>0</v>
      </c>
      <c r="E26" s="51">
        <f>0</f>
        <v>0</v>
      </c>
      <c r="F26" s="51">
        <f>0</f>
        <v>0</v>
      </c>
      <c r="G26" s="51">
        <f>0</f>
        <v>0</v>
      </c>
      <c r="H26" s="51">
        <f>'[1]Condensed Inc Sttm-TCB(annon)'!F27</f>
        <v>20522.14887680649</v>
      </c>
      <c r="I26" s="51">
        <f>SUM(C26:H26)</f>
        <v>20522.14887680649</v>
      </c>
    </row>
    <row r="27" spans="2:9" ht="12.75">
      <c r="B27" s="42" t="s">
        <v>113</v>
      </c>
      <c r="C27" s="52">
        <f aca="true" t="shared" si="1" ref="C27:I27">SUM(C12:C26)</f>
        <v>607701.5</v>
      </c>
      <c r="D27" s="52">
        <f t="shared" si="1"/>
        <v>-23</v>
      </c>
      <c r="E27" s="52">
        <f t="shared" si="1"/>
        <v>24404.276</v>
      </c>
      <c r="F27" s="52">
        <f t="shared" si="1"/>
        <v>147523.451948083</v>
      </c>
      <c r="G27" s="52">
        <f t="shared" si="1"/>
        <v>0</v>
      </c>
      <c r="H27" s="52">
        <f t="shared" si="1"/>
        <v>246932.1488768065</v>
      </c>
      <c r="I27" s="52">
        <f t="shared" si="1"/>
        <v>1026538.3768248894</v>
      </c>
    </row>
    <row r="28" spans="3:10" ht="12.75">
      <c r="C28" s="50"/>
      <c r="D28" s="50"/>
      <c r="E28" s="50"/>
      <c r="F28" s="50"/>
      <c r="G28" s="50"/>
      <c r="H28" s="50"/>
      <c r="I28" s="50"/>
      <c r="J28" s="53"/>
    </row>
    <row r="29" spans="3:10" ht="12.75">
      <c r="C29" s="50"/>
      <c r="D29" s="50"/>
      <c r="E29" s="50"/>
      <c r="F29" s="50"/>
      <c r="G29" s="50"/>
      <c r="H29" s="50"/>
      <c r="I29" s="50"/>
      <c r="J29" s="53"/>
    </row>
    <row r="30" spans="2:10" ht="12.75">
      <c r="B30" s="45" t="s">
        <v>114</v>
      </c>
      <c r="C30" s="50"/>
      <c r="D30" s="50"/>
      <c r="E30" s="50"/>
      <c r="F30" s="50"/>
      <c r="G30" s="50"/>
      <c r="H30" s="50"/>
      <c r="I30" s="50"/>
      <c r="J30" s="53"/>
    </row>
    <row r="32" spans="2:9" ht="12.75">
      <c r="B32" s="42" t="s">
        <v>115</v>
      </c>
      <c r="C32" s="43">
        <f>215300</f>
        <v>215300</v>
      </c>
      <c r="D32" s="43">
        <f>-120</f>
        <v>-120</v>
      </c>
      <c r="E32" s="43">
        <f>31816</f>
        <v>31816</v>
      </c>
      <c r="F32" s="43">
        <f>11901+158400+11782</f>
        <v>182083</v>
      </c>
      <c r="G32" s="43">
        <f>G63</f>
        <v>0</v>
      </c>
      <c r="H32" s="43">
        <f>177874</f>
        <v>177874</v>
      </c>
      <c r="I32" s="43">
        <f>SUM(C32:H32)</f>
        <v>606953</v>
      </c>
    </row>
    <row r="34" spans="2:9" ht="12.75">
      <c r="B34" s="42" t="s">
        <v>107</v>
      </c>
      <c r="C34" s="50">
        <f>219314+(500+49500)+(54439)+(9674)</f>
        <v>333427</v>
      </c>
      <c r="D34" s="43">
        <f>0</f>
        <v>0</v>
      </c>
      <c r="E34" s="43">
        <f>0</f>
        <v>0</v>
      </c>
      <c r="F34" s="43">
        <f>0</f>
        <v>0</v>
      </c>
      <c r="G34" s="43">
        <f>0</f>
        <v>0</v>
      </c>
      <c r="H34" s="43">
        <f>0</f>
        <v>0</v>
      </c>
      <c r="I34" s="43">
        <f>SUM(C34:H34)</f>
        <v>333427</v>
      </c>
    </row>
    <row r="35" ht="12.75">
      <c r="C35" s="50"/>
    </row>
    <row r="36" spans="2:9" ht="12.75">
      <c r="B36" s="42" t="s">
        <v>108</v>
      </c>
      <c r="C36" s="50">
        <f>59187</f>
        <v>59187</v>
      </c>
      <c r="D36" s="43">
        <f>0</f>
        <v>0</v>
      </c>
      <c r="E36" s="43">
        <f>0</f>
        <v>0</v>
      </c>
      <c r="F36" s="43">
        <f>0</f>
        <v>0</v>
      </c>
      <c r="G36" s="43">
        <f>0</f>
        <v>0</v>
      </c>
      <c r="H36" s="43">
        <f>0</f>
        <v>0</v>
      </c>
      <c r="I36" s="43">
        <f>SUM(C36:H36)</f>
        <v>59187</v>
      </c>
    </row>
    <row r="37" ht="12.75">
      <c r="C37" s="50"/>
    </row>
    <row r="38" spans="2:9" ht="12.75">
      <c r="B38" s="42" t="s">
        <v>116</v>
      </c>
      <c r="C38" s="50">
        <f>-7624</f>
        <v>-7624</v>
      </c>
      <c r="D38" s="43">
        <f>0</f>
        <v>0</v>
      </c>
      <c r="E38" s="43">
        <f>0</f>
        <v>0</v>
      </c>
      <c r="F38" s="43">
        <f>0</f>
        <v>0</v>
      </c>
      <c r="G38" s="43">
        <f>0</f>
        <v>0</v>
      </c>
      <c r="H38" s="43">
        <f>0</f>
        <v>0</v>
      </c>
      <c r="I38" s="43">
        <f>SUM(C38:H38)</f>
        <v>-7624</v>
      </c>
    </row>
    <row r="40" spans="2:9" ht="12.75">
      <c r="B40" s="42" t="s">
        <v>110</v>
      </c>
      <c r="C40" s="43">
        <f>0</f>
        <v>0</v>
      </c>
      <c r="D40" s="43">
        <f>-80</f>
        <v>-80</v>
      </c>
      <c r="E40" s="43">
        <f>0</f>
        <v>0</v>
      </c>
      <c r="F40" s="43">
        <f>0</f>
        <v>0</v>
      </c>
      <c r="G40" s="43">
        <f>0</f>
        <v>0</v>
      </c>
      <c r="H40" s="43">
        <f>0</f>
        <v>0</v>
      </c>
      <c r="I40" s="43">
        <f>SUM(C40:H40)</f>
        <v>-80</v>
      </c>
    </row>
    <row r="42" spans="2:9" ht="12.75">
      <c r="B42" s="42" t="s">
        <v>111</v>
      </c>
      <c r="C42" s="43">
        <f>0</f>
        <v>0</v>
      </c>
      <c r="D42" s="43">
        <f>177</f>
        <v>177</v>
      </c>
      <c r="E42" s="43">
        <f>0</f>
        <v>0</v>
      </c>
      <c r="F42" s="43">
        <f>0</f>
        <v>0</v>
      </c>
      <c r="G42" s="43">
        <f>0</f>
        <v>0</v>
      </c>
      <c r="H42" s="43">
        <f>0</f>
        <v>0</v>
      </c>
      <c r="I42" s="43">
        <f>SUM(C42:H42)</f>
        <v>177</v>
      </c>
    </row>
    <row r="44" spans="2:9" ht="12.75">
      <c r="B44" s="42" t="s">
        <v>112</v>
      </c>
      <c r="C44" s="43">
        <f>0</f>
        <v>0</v>
      </c>
      <c r="D44" s="43">
        <f>0</f>
        <v>0</v>
      </c>
      <c r="E44" s="43">
        <f>0</f>
        <v>0</v>
      </c>
      <c r="F44" s="50">
        <f>-9</f>
        <v>-9</v>
      </c>
      <c r="G44" s="43">
        <f>0</f>
        <v>0</v>
      </c>
      <c r="H44" s="43">
        <f>0</f>
        <v>0</v>
      </c>
      <c r="I44" s="43">
        <f>SUM(C44:H44)</f>
        <v>-9</v>
      </c>
    </row>
    <row r="45" ht="12.75">
      <c r="F45" s="50"/>
    </row>
    <row r="46" spans="2:9" ht="12.75">
      <c r="B46" s="42" t="s">
        <v>117</v>
      </c>
      <c r="C46" s="43">
        <f>0</f>
        <v>0</v>
      </c>
      <c r="D46" s="43">
        <f>0</f>
        <v>0</v>
      </c>
      <c r="E46" s="43">
        <f>0</f>
        <v>0</v>
      </c>
      <c r="F46" s="50">
        <f>-33849</f>
        <v>-33849</v>
      </c>
      <c r="G46" s="43">
        <f>0</f>
        <v>0</v>
      </c>
      <c r="H46" s="43">
        <f>0</f>
        <v>0</v>
      </c>
      <c r="I46" s="43">
        <f>SUM(C46:H46)</f>
        <v>-33849</v>
      </c>
    </row>
    <row r="47" ht="12.75">
      <c r="F47" s="50"/>
    </row>
    <row r="48" spans="2:9" ht="12.75">
      <c r="B48" s="42" t="s">
        <v>118</v>
      </c>
      <c r="C48" s="43">
        <f>0</f>
        <v>0</v>
      </c>
      <c r="D48" s="43">
        <f>0</f>
        <v>0</v>
      </c>
      <c r="E48" s="43">
        <f>0</f>
        <v>0</v>
      </c>
      <c r="F48" s="50">
        <f>-700</f>
        <v>-700</v>
      </c>
      <c r="G48" s="43">
        <f>0</f>
        <v>0</v>
      </c>
      <c r="H48" s="43">
        <f>700</f>
        <v>700</v>
      </c>
      <c r="I48" s="43">
        <f>SUM(C48:H48)</f>
        <v>0</v>
      </c>
    </row>
    <row r="49" spans="2:6" ht="12.75">
      <c r="B49" s="54"/>
      <c r="F49" s="50"/>
    </row>
    <row r="50" spans="2:9" ht="12.75">
      <c r="B50" s="42" t="s">
        <v>119</v>
      </c>
      <c r="C50" s="51">
        <f>0</f>
        <v>0</v>
      </c>
      <c r="D50" s="51">
        <f>0</f>
        <v>0</v>
      </c>
      <c r="E50" s="51">
        <f>0</f>
        <v>0</v>
      </c>
      <c r="F50" s="51">
        <f>0</f>
        <v>0</v>
      </c>
      <c r="G50" s="51">
        <f>0</f>
        <v>0</v>
      </c>
      <c r="H50" s="51">
        <f>54033</f>
        <v>54033</v>
      </c>
      <c r="I50" s="51">
        <f>SUM(C50:H50)</f>
        <v>54033</v>
      </c>
    </row>
    <row r="51" spans="3:9" ht="12.75">
      <c r="C51" s="50">
        <f aca="true" t="shared" si="2" ref="C51:I51">SUM(C32:C50)</f>
        <v>600290</v>
      </c>
      <c r="D51" s="50">
        <f t="shared" si="2"/>
        <v>-23</v>
      </c>
      <c r="E51" s="50">
        <f t="shared" si="2"/>
        <v>31816</v>
      </c>
      <c r="F51" s="50">
        <f t="shared" si="2"/>
        <v>147525</v>
      </c>
      <c r="G51" s="50">
        <f t="shared" si="2"/>
        <v>0</v>
      </c>
      <c r="H51" s="50">
        <f t="shared" si="2"/>
        <v>232607</v>
      </c>
      <c r="I51" s="50">
        <f t="shared" si="2"/>
        <v>1012215</v>
      </c>
    </row>
    <row r="52" spans="2:9" ht="12.75">
      <c r="B52" s="42" t="s">
        <v>120</v>
      </c>
      <c r="C52" s="50">
        <f>0</f>
        <v>0</v>
      </c>
      <c r="D52" s="50">
        <f>0</f>
        <v>0</v>
      </c>
      <c r="E52" s="50">
        <f>0</f>
        <v>0</v>
      </c>
      <c r="F52" s="50">
        <f>0</f>
        <v>0</v>
      </c>
      <c r="G52" s="50">
        <f>0</f>
        <v>0</v>
      </c>
      <c r="H52" s="50">
        <f>-6197</f>
        <v>-6197</v>
      </c>
      <c r="I52" s="50">
        <f>SUM(C52:H52)</f>
        <v>-6197</v>
      </c>
    </row>
    <row r="53" spans="2:9" ht="12.75">
      <c r="B53" s="42" t="s">
        <v>121</v>
      </c>
      <c r="C53" s="52">
        <f aca="true" t="shared" si="3" ref="C53:I53">SUM(C51:C52)</f>
        <v>600290</v>
      </c>
      <c r="D53" s="52">
        <f t="shared" si="3"/>
        <v>-23</v>
      </c>
      <c r="E53" s="52">
        <f t="shared" si="3"/>
        <v>31816</v>
      </c>
      <c r="F53" s="52">
        <f t="shared" si="3"/>
        <v>147525</v>
      </c>
      <c r="G53" s="52">
        <f t="shared" si="3"/>
        <v>0</v>
      </c>
      <c r="H53" s="52">
        <f t="shared" si="3"/>
        <v>226410</v>
      </c>
      <c r="I53" s="52">
        <f t="shared" si="3"/>
        <v>1006018</v>
      </c>
    </row>
    <row r="58" ht="12.75">
      <c r="C58" s="42" t="s">
        <v>122</v>
      </c>
    </row>
    <row r="59" ht="12.75">
      <c r="C59" s="42" t="s">
        <v>87</v>
      </c>
    </row>
  </sheetData>
  <sheetProtection password="C5C9" sheet="1" objects="1" scenarios="1"/>
  <printOptions/>
  <pageMargins left="0.25" right="0.25" top="0.25" bottom="0.25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workbookViewId="0" topLeftCell="A1">
      <selection activeCell="B8" sqref="B8"/>
    </sheetView>
  </sheetViews>
  <sheetFormatPr defaultColWidth="9.140625" defaultRowHeight="12.75"/>
  <cols>
    <col min="1" max="8" width="9.140625" style="56" customWidth="1"/>
    <col min="9" max="9" width="13.00390625" style="56" customWidth="1"/>
    <col min="10" max="16384" width="9.140625" style="56" customWidth="1"/>
  </cols>
  <sheetData>
    <row r="2" ht="12.75">
      <c r="B2" s="55" t="s">
        <v>0</v>
      </c>
    </row>
    <row r="3" ht="12.75">
      <c r="B3" s="55"/>
    </row>
    <row r="4" spans="2:12" ht="12.75">
      <c r="B4" s="57" t="s">
        <v>123</v>
      </c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1" ht="12.75">
      <c r="B5" s="58"/>
      <c r="C5" s="58"/>
      <c r="D5" s="58"/>
      <c r="E5" s="58"/>
      <c r="F5" s="58"/>
      <c r="G5" s="58"/>
      <c r="H5" s="58"/>
      <c r="I5" s="60" t="s">
        <v>10</v>
      </c>
      <c r="J5" s="58"/>
      <c r="K5" s="58"/>
    </row>
    <row r="6" spans="2:11" ht="12.75">
      <c r="B6" s="40" t="s">
        <v>124</v>
      </c>
      <c r="C6" s="58"/>
      <c r="D6" s="58"/>
      <c r="E6" s="58"/>
      <c r="F6" s="58"/>
      <c r="G6" s="58"/>
      <c r="H6" s="58"/>
      <c r="I6" s="61">
        <f>'[4]Sheet1'!L82</f>
        <v>-53329.48583464282</v>
      </c>
      <c r="J6" s="58"/>
      <c r="K6" s="58"/>
    </row>
    <row r="7" spans="2:11" ht="12.75">
      <c r="B7" s="40" t="s">
        <v>125</v>
      </c>
      <c r="C7" s="58"/>
      <c r="D7" s="58"/>
      <c r="E7" s="58"/>
      <c r="F7" s="58"/>
      <c r="G7" s="58"/>
      <c r="H7" s="58"/>
      <c r="I7" s="61">
        <f>'[4]Sheet1'!L83</f>
        <v>-94416.06224096542</v>
      </c>
      <c r="J7" s="58"/>
      <c r="K7" s="58"/>
    </row>
    <row r="8" spans="2:11" ht="12.75">
      <c r="B8" s="40" t="s">
        <v>193</v>
      </c>
      <c r="C8" s="58"/>
      <c r="D8" s="58"/>
      <c r="E8" s="58"/>
      <c r="F8" s="58"/>
      <c r="G8" s="58"/>
      <c r="H8" s="58"/>
      <c r="I8" s="62">
        <f>'[4]Sheet1'!L84</f>
        <v>140513.51528080937</v>
      </c>
      <c r="J8" s="58"/>
      <c r="K8" s="58"/>
    </row>
    <row r="9" spans="2:11" ht="12.75">
      <c r="B9" s="40" t="s">
        <v>126</v>
      </c>
      <c r="C9" s="58"/>
      <c r="D9" s="58"/>
      <c r="E9" s="58"/>
      <c r="F9" s="58"/>
      <c r="G9" s="58"/>
      <c r="H9" s="58"/>
      <c r="I9" s="61">
        <f>SUM(I6:I8)</f>
        <v>-7232.03279479887</v>
      </c>
      <c r="J9" s="58"/>
      <c r="K9" s="58"/>
    </row>
    <row r="10" spans="2:11" ht="12.75">
      <c r="B10" s="40" t="s">
        <v>127</v>
      </c>
      <c r="C10" s="58"/>
      <c r="D10" s="58"/>
      <c r="E10" s="58"/>
      <c r="F10" s="58"/>
      <c r="G10" s="58"/>
      <c r="H10" s="58"/>
      <c r="I10" s="63">
        <f>'[4]Sheet1'!L86</f>
        <v>102133</v>
      </c>
      <c r="J10" s="58"/>
      <c r="K10" s="58"/>
    </row>
    <row r="11" spans="2:11" ht="12.75">
      <c r="B11" s="40" t="s">
        <v>128</v>
      </c>
      <c r="C11" s="58"/>
      <c r="D11" s="58"/>
      <c r="E11" s="58"/>
      <c r="F11" s="58"/>
      <c r="G11" s="58"/>
      <c r="H11" s="58"/>
      <c r="I11" s="64">
        <f>SUM(I9:I10)</f>
        <v>94900.96720520113</v>
      </c>
      <c r="J11" s="58"/>
      <c r="K11" s="58"/>
    </row>
    <row r="12" spans="2:11" ht="12.75"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2:11" ht="12.75">
      <c r="B13" s="65" t="s">
        <v>129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2:11" ht="12.75">
      <c r="B14" s="65" t="s">
        <v>130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2:11" ht="12.75"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2:11" ht="12.75">
      <c r="B16" s="66" t="s">
        <v>131</v>
      </c>
      <c r="C16" s="65"/>
      <c r="D16" s="65"/>
      <c r="E16" s="65"/>
      <c r="F16" s="65"/>
      <c r="G16" s="65"/>
      <c r="H16" s="65"/>
      <c r="I16" s="67">
        <f>'[2]Consol'!$EP$175/1000</f>
        <v>21066.1113742</v>
      </c>
      <c r="J16" s="65"/>
      <c r="K16" s="65"/>
    </row>
    <row r="17" spans="2:11" ht="12.75">
      <c r="B17" s="66" t="s">
        <v>132</v>
      </c>
      <c r="C17" s="65"/>
      <c r="D17" s="65"/>
      <c r="E17" s="65"/>
      <c r="F17" s="65"/>
      <c r="G17" s="65"/>
      <c r="H17" s="65"/>
      <c r="I17" s="68">
        <f>SUM('[2]Consol'!$EP$176:$EP$177)/1000</f>
        <v>271907.533</v>
      </c>
      <c r="J17" s="65"/>
      <c r="K17" s="65"/>
    </row>
    <row r="18" spans="2:11" ht="12.75">
      <c r="B18" s="66" t="s">
        <v>133</v>
      </c>
      <c r="C18" s="65"/>
      <c r="D18" s="65"/>
      <c r="E18" s="65"/>
      <c r="F18" s="65"/>
      <c r="G18" s="65"/>
      <c r="H18" s="65"/>
      <c r="I18" s="69">
        <f>-'[2]Consol'!$EP$192/1000</f>
        <v>-41763.92</v>
      </c>
      <c r="J18" s="65"/>
      <c r="K18" s="65"/>
    </row>
    <row r="19" spans="2:11" ht="12.75">
      <c r="B19" s="65"/>
      <c r="C19" s="65"/>
      <c r="D19" s="65"/>
      <c r="E19" s="65"/>
      <c r="F19" s="65"/>
      <c r="G19" s="65"/>
      <c r="H19" s="65"/>
      <c r="I19" s="67">
        <f>SUM(I16:I18)</f>
        <v>251209.72437420004</v>
      </c>
      <c r="J19" s="65"/>
      <c r="K19" s="65"/>
    </row>
    <row r="20" spans="2:11" ht="12.75">
      <c r="B20" s="66" t="s">
        <v>134</v>
      </c>
      <c r="C20" s="65"/>
      <c r="D20" s="65"/>
      <c r="E20" s="65"/>
      <c r="F20" s="65"/>
      <c r="G20" s="65"/>
      <c r="H20" s="65"/>
      <c r="I20" s="67">
        <f>'[4]Sheet1'!L96</f>
        <v>-156309</v>
      </c>
      <c r="J20" s="65"/>
      <c r="K20" s="65"/>
    </row>
    <row r="21" spans="2:11" ht="12.75">
      <c r="B21" s="65"/>
      <c r="C21" s="65"/>
      <c r="D21" s="65"/>
      <c r="E21" s="65"/>
      <c r="F21" s="65"/>
      <c r="G21" s="65"/>
      <c r="H21" s="65"/>
      <c r="I21" s="70">
        <f>SUM(I19:I20)</f>
        <v>94900.72437420004</v>
      </c>
      <c r="J21" s="65"/>
      <c r="K21" s="65"/>
    </row>
    <row r="23" ht="12.75" hidden="1">
      <c r="I23" s="71">
        <f>I11-I21</f>
        <v>0.2428310010873247</v>
      </c>
    </row>
    <row r="33" ht="12.75">
      <c r="B33" s="2" t="s">
        <v>135</v>
      </c>
    </row>
    <row r="34" ht="12.75">
      <c r="B34" s="2" t="s">
        <v>87</v>
      </c>
    </row>
  </sheetData>
  <sheetProtection password="C5C9" sheet="1" objects="1" scenarios="1"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workbookViewId="0" topLeftCell="K53">
      <selection activeCell="N69" sqref="N69"/>
    </sheetView>
  </sheetViews>
  <sheetFormatPr defaultColWidth="9.140625" defaultRowHeight="12.75"/>
  <cols>
    <col min="1" max="2" width="3.140625" style="2" customWidth="1"/>
    <col min="3" max="3" width="9.140625" style="2" customWidth="1"/>
    <col min="4" max="4" width="29.28125" style="2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6.28125" style="2" customWidth="1"/>
    <col min="10" max="10" width="1.7109375" style="2" customWidth="1"/>
    <col min="11" max="11" width="16.28125" style="2" customWidth="1"/>
    <col min="12" max="12" width="1.7109375" style="2" customWidth="1"/>
    <col min="13" max="13" width="16.28125" style="2" customWidth="1"/>
    <col min="14" max="14" width="1.7109375" style="2" customWidth="1"/>
    <col min="15" max="15" width="16.28125" style="2" customWidth="1"/>
    <col min="16" max="16" width="1.7109375" style="2" customWidth="1"/>
    <col min="17" max="17" width="16.28125" style="2" customWidth="1"/>
    <col min="18" max="18" width="1.7109375" style="2" customWidth="1"/>
    <col min="19" max="19" width="16.28125" style="2" customWidth="1"/>
    <col min="20" max="20" width="1.7109375" style="2" customWidth="1"/>
    <col min="21" max="21" width="16.28125" style="2" customWidth="1"/>
    <col min="22" max="22" width="12.00390625" style="2" bestFit="1" customWidth="1"/>
    <col min="23" max="16384" width="9.140625" style="2" customWidth="1"/>
  </cols>
  <sheetData>
    <row r="1" spans="1:5" ht="12.75">
      <c r="A1" s="72" t="s">
        <v>136</v>
      </c>
      <c r="B1" s="20" t="s">
        <v>137</v>
      </c>
      <c r="E1" s="73"/>
    </row>
    <row r="3" spans="2:5" ht="12.75">
      <c r="B3" s="20" t="s">
        <v>138</v>
      </c>
      <c r="C3" s="1" t="s">
        <v>139</v>
      </c>
      <c r="E3" s="20"/>
    </row>
    <row r="5" s="20" customFormat="1" ht="12.75">
      <c r="E5" s="21" t="s">
        <v>190</v>
      </c>
    </row>
    <row r="6" spans="5:17" s="20" customFormat="1" ht="12.75">
      <c r="E6" s="21" t="s">
        <v>192</v>
      </c>
      <c r="O6" s="21" t="s">
        <v>140</v>
      </c>
      <c r="Q6" s="21" t="s">
        <v>141</v>
      </c>
    </row>
    <row r="7" spans="5:21" s="20" customFormat="1" ht="12.75">
      <c r="E7" s="21" t="s">
        <v>191</v>
      </c>
      <c r="G7" s="21" t="s">
        <v>142</v>
      </c>
      <c r="I7" s="21" t="s">
        <v>143</v>
      </c>
      <c r="J7" s="21"/>
      <c r="K7" s="21" t="s">
        <v>144</v>
      </c>
      <c r="L7" s="21"/>
      <c r="M7" s="21" t="s">
        <v>145</v>
      </c>
      <c r="O7" s="21" t="s">
        <v>146</v>
      </c>
      <c r="Q7" s="21" t="s">
        <v>147</v>
      </c>
      <c r="S7" s="21" t="s">
        <v>148</v>
      </c>
      <c r="T7" s="21"/>
      <c r="U7" s="21" t="s">
        <v>149</v>
      </c>
    </row>
    <row r="8" spans="5:21" s="20" customFormat="1" ht="12.75">
      <c r="E8" s="21" t="s">
        <v>150</v>
      </c>
      <c r="G8" s="21" t="s">
        <v>150</v>
      </c>
      <c r="I8" s="21" t="s">
        <v>150</v>
      </c>
      <c r="K8" s="21" t="s">
        <v>150</v>
      </c>
      <c r="M8" s="21" t="s">
        <v>150</v>
      </c>
      <c r="O8" s="21" t="s">
        <v>150</v>
      </c>
      <c r="Q8" s="21" t="s">
        <v>150</v>
      </c>
      <c r="S8" s="21" t="s">
        <v>150</v>
      </c>
      <c r="U8" s="21" t="s">
        <v>150</v>
      </c>
    </row>
    <row r="9" s="20" customFormat="1" ht="12.75"/>
    <row r="10" spans="3:5" ht="12.75">
      <c r="C10" s="20" t="s">
        <v>151</v>
      </c>
      <c r="E10" s="20"/>
    </row>
    <row r="11" spans="4:21" ht="12.75">
      <c r="D11" s="2" t="s">
        <v>152</v>
      </c>
      <c r="E11" s="74">
        <f>(SUM('[2]Consol'!$EN$675:$EN$678,'[2]Consol'!$EN$684,'[2]Consol'!$EO$14)/1000)</f>
        <v>285294.69975</v>
      </c>
      <c r="F11" s="3"/>
      <c r="G11" s="3">
        <f>'[2]Consol'!$EN$681/1000</f>
        <v>1212.844</v>
      </c>
      <c r="H11" s="3"/>
      <c r="I11" s="3">
        <f>'[2]Consol'!$EN$679/1000</f>
        <v>0</v>
      </c>
      <c r="J11" s="3"/>
      <c r="K11" s="3">
        <f>'[2]Consol'!$EN$682/1000</f>
        <v>11616.023</v>
      </c>
      <c r="L11" s="3"/>
      <c r="M11" s="3">
        <f>'[2]Consol'!$EN$680/1000</f>
        <v>216.328</v>
      </c>
      <c r="N11" s="3"/>
      <c r="O11" s="3">
        <f>'[2]Consol'!$EN$683/1000</f>
        <v>4237.7941152</v>
      </c>
      <c r="P11" s="3"/>
      <c r="Q11" s="27">
        <f>O11+M11+K11+I11+G11+E11</f>
        <v>302577.68886520003</v>
      </c>
      <c r="R11" s="3"/>
      <c r="S11" s="3">
        <v>0</v>
      </c>
      <c r="T11" s="3"/>
      <c r="U11" s="3">
        <f>Q11</f>
        <v>302577.68886520003</v>
      </c>
    </row>
    <row r="12" spans="5:21" ht="12.7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7"/>
      <c r="R12" s="3"/>
      <c r="S12" s="3"/>
      <c r="T12" s="3"/>
      <c r="U12" s="3"/>
    </row>
    <row r="13" spans="4:21" ht="12.75">
      <c r="D13" s="2" t="s">
        <v>153</v>
      </c>
      <c r="E13" s="27">
        <f>-SUM('[2]Consol'!$EM$675:$EM$678,'[2]Consol'!$EM$684)/1000</f>
        <v>3208.29825</v>
      </c>
      <c r="F13" s="3"/>
      <c r="G13" s="27">
        <f>-'[2]Consol'!$EM$681/1000</f>
        <v>342.713</v>
      </c>
      <c r="H13" s="3"/>
      <c r="I13" s="27">
        <f>'[2]Consol'!$EM$679</f>
        <v>0</v>
      </c>
      <c r="J13" s="3"/>
      <c r="K13" s="27">
        <f>-'[2]Consol'!$EM$682/1000</f>
        <v>1873.781</v>
      </c>
      <c r="L13" s="3"/>
      <c r="M13" s="27">
        <f>-'[2]Consol'!$EM$680/1000</f>
        <v>263.606</v>
      </c>
      <c r="N13" s="3"/>
      <c r="O13" s="27">
        <v>0</v>
      </c>
      <c r="P13" s="27"/>
      <c r="Q13" s="27">
        <f>O13+M13+K13+I13+G13+E13+1</f>
        <v>5689.39825</v>
      </c>
      <c r="R13" s="3"/>
      <c r="S13" s="27">
        <f>-(E13+G13+I13+K13+M13+O13)-1</f>
        <v>-5689.39825</v>
      </c>
      <c r="T13" s="3"/>
      <c r="U13" s="27">
        <f>-(E13+G13+I13+K13+M13+O13+S13)-1</f>
        <v>0</v>
      </c>
    </row>
    <row r="14" spans="5:21" ht="12.75"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4:21" ht="12.75">
      <c r="D15" s="2" t="s">
        <v>154</v>
      </c>
      <c r="E15" s="30">
        <f>SUM(E11:E13)</f>
        <v>288502.998</v>
      </c>
      <c r="F15" s="30"/>
      <c r="G15" s="30">
        <f>SUM(G11:G13)</f>
        <v>1555.557</v>
      </c>
      <c r="H15" s="30"/>
      <c r="I15" s="30">
        <f>SUM(I11:I13)</f>
        <v>0</v>
      </c>
      <c r="J15" s="30"/>
      <c r="K15" s="30">
        <f>SUM(K11:K13)</f>
        <v>13489.804</v>
      </c>
      <c r="L15" s="30"/>
      <c r="M15" s="30">
        <f>SUM(M11:M13)</f>
        <v>479.93399999999997</v>
      </c>
      <c r="N15" s="30"/>
      <c r="O15" s="30">
        <f>SUM(O11:O13)</f>
        <v>4237.7941152</v>
      </c>
      <c r="P15" s="30"/>
      <c r="Q15" s="30">
        <f>SUM(Q11:Q13)</f>
        <v>308267.08711520006</v>
      </c>
      <c r="R15" s="30"/>
      <c r="S15" s="30">
        <f>SUM(S11:S13)</f>
        <v>-5689.39825</v>
      </c>
      <c r="T15" s="30"/>
      <c r="U15" s="30">
        <f>SUM(U11:U14)</f>
        <v>302577.68886520003</v>
      </c>
    </row>
    <row r="16" spans="6:22" ht="12.75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1"/>
    </row>
    <row r="17" spans="3:22" ht="12.75">
      <c r="C17" s="20" t="s">
        <v>155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1"/>
    </row>
    <row r="18" spans="4:22" ht="12.75">
      <c r="D18" s="2" t="s">
        <v>156</v>
      </c>
      <c r="E18" s="27">
        <f>((SUM('[2]Consol'!$EN$704:$EN$707,'[2]Consol'!$EN$713)-SUM('[2]Consol'!$EM$704:$EM$707,'[2]Consol'!$EM$713)+'[2]Consol'!$CF$705)/1000)+('[2]Consol'!$EO$39/1000)</f>
        <v>32875.88738</v>
      </c>
      <c r="F18" s="27"/>
      <c r="G18" s="27">
        <f>SUM('[2]Consol'!$EM$710:$EN$710)/1000</f>
        <v>281.322</v>
      </c>
      <c r="H18" s="27"/>
      <c r="I18" s="27">
        <f>(('[2]Consol'!$EN$708-'[2]Consol'!$EM$708)+('[2]Consol'!$BV$708))/1000</f>
        <v>-2.69272</v>
      </c>
      <c r="J18" s="27"/>
      <c r="K18" s="27">
        <f>('[2]Consol'!$EN$711-'[2]Consol'!$EM$711)/1000</f>
        <v>743.368</v>
      </c>
      <c r="L18" s="27"/>
      <c r="M18" s="27">
        <f>('[2]Consol'!$EN$709-'[2]Consol'!$EM$709)/1000</f>
        <v>-969.48</v>
      </c>
      <c r="N18" s="27"/>
      <c r="O18" s="27">
        <f>('[2]Consol'!$EN$712-'[2]Consol'!$EM$712)/1000</f>
        <v>66.86990539999911</v>
      </c>
      <c r="P18" s="27"/>
      <c r="Q18" s="27">
        <f>O18+M18+K18+I18+G18+E18</f>
        <v>32995.2745654</v>
      </c>
      <c r="R18" s="27"/>
      <c r="S18" s="27">
        <f>('[2]Consol'!$EM$716-'[2]Consol'!$EM$715-'[2]Consol'!$CF$705-'[2]Consol'!$BV$708)/1000</f>
        <v>-854.4265369625988</v>
      </c>
      <c r="T18" s="27"/>
      <c r="U18" s="27">
        <f>Q18+S18</f>
        <v>32140.848028437405</v>
      </c>
      <c r="V18" s="41"/>
    </row>
    <row r="19" spans="4:22" ht="12.75">
      <c r="D19" s="2" t="s">
        <v>157</v>
      </c>
      <c r="E19" s="27">
        <f>(SUM('[2]Consol'!$EN$917:$EN$920,'[2]Consol'!$EN$926)-SUM('[2]Consol'!$EM$917:$EM$920,'[2]Consol'!$EM$926))/1000+1</f>
        <v>2326.85</v>
      </c>
      <c r="F19" s="27"/>
      <c r="G19" s="27">
        <f>('[2]Consol'!$EN$923-'[2]Consol'!$EM$923)/1000</f>
        <v>0</v>
      </c>
      <c r="H19" s="27"/>
      <c r="I19" s="27">
        <f>('[2]Consol'!$EN$921-'[2]Consol'!$EM$921)/1000</f>
        <v>0</v>
      </c>
      <c r="J19" s="27"/>
      <c r="K19" s="27">
        <f>('[2]Consol'!$EN$924-'[2]Consol'!$EM$924)/1000</f>
        <v>12.135</v>
      </c>
      <c r="L19" s="27"/>
      <c r="M19" s="27">
        <f>('[2]Consol'!$EN$922-'[2]Consol'!$EM$922)/1000</f>
        <v>1.904</v>
      </c>
      <c r="N19" s="27"/>
      <c r="O19" s="27">
        <f>('[2]Consol'!$EN$925-'[2]Consol'!$EM$925)/1000</f>
        <v>5.28</v>
      </c>
      <c r="P19" s="27"/>
      <c r="Q19" s="27">
        <f>O19+M19+K19+I19+G19+E19</f>
        <v>2346.169</v>
      </c>
      <c r="R19" s="27"/>
      <c r="S19" s="27">
        <f>'[2]Consol'!$EM$928/1000</f>
        <v>-227.523</v>
      </c>
      <c r="T19" s="27"/>
      <c r="U19" s="27">
        <f>Q19+S19-1</f>
        <v>2117.6459999999997</v>
      </c>
      <c r="V19" s="41"/>
    </row>
    <row r="20" spans="4:22" ht="12.75">
      <c r="D20" s="2" t="s">
        <v>158</v>
      </c>
      <c r="E20" s="29">
        <f>(SUM('[2]Consol'!$EN$932:$EN$935,'[2]Consol'!$EN$941)-SUM('[2]Consol'!$EM$932:$EM$935,'[2]Consol'!$EM$941))/1000</f>
        <v>-3045.32</v>
      </c>
      <c r="F20" s="29"/>
      <c r="G20" s="29">
        <f>('[2]Consol'!$EN$938-'[2]Consol'!$EM$938)/1000</f>
        <v>0</v>
      </c>
      <c r="H20" s="29"/>
      <c r="I20" s="29">
        <f>('[2]Consol'!$EN$936-'[2]Consol'!$EM$936)/1000</f>
        <v>-23.74</v>
      </c>
      <c r="J20" s="29"/>
      <c r="K20" s="29">
        <f>('[2]Consol'!$EN$939-'[2]Consol'!$EM$939)/1000</f>
        <v>-487.68</v>
      </c>
      <c r="L20" s="29"/>
      <c r="M20" s="29">
        <f>('[2]Consol'!$EN$937-'[2]Consol'!$EM$937)/1000</f>
        <v>-88.666</v>
      </c>
      <c r="N20" s="29"/>
      <c r="O20" s="29">
        <f>('[2]Consol'!$EN$940-'[2]Consol'!$EM$940)/1000</f>
        <v>-784.3792496</v>
      </c>
      <c r="P20" s="29"/>
      <c r="Q20" s="29">
        <f>O20+M20+K20+I20+G20+E20</f>
        <v>-4429.7852496000005</v>
      </c>
      <c r="R20" s="29"/>
      <c r="S20" s="29">
        <f>'[2]Consol'!$EM$943/1000</f>
        <v>498.111</v>
      </c>
      <c r="T20" s="29"/>
      <c r="U20" s="29">
        <f>Q20+S20</f>
        <v>-3931.6742496000006</v>
      </c>
      <c r="V20" s="41"/>
    </row>
    <row r="21" spans="4:22" ht="12.75">
      <c r="D21" s="2" t="s">
        <v>159</v>
      </c>
      <c r="E21" s="30">
        <f>SUM(E18:E20)+1</f>
        <v>32158.41738</v>
      </c>
      <c r="F21" s="30"/>
      <c r="G21" s="30">
        <f>SUM(G18:G20)</f>
        <v>281.322</v>
      </c>
      <c r="H21" s="30"/>
      <c r="I21" s="30">
        <f>SUM(I18:I20)-1</f>
        <v>-27.43272</v>
      </c>
      <c r="J21" s="30"/>
      <c r="K21" s="30">
        <f>SUM(K18:K20)-1</f>
        <v>266.82300000000004</v>
      </c>
      <c r="L21" s="30"/>
      <c r="M21" s="30">
        <f>SUM(M18:M20)</f>
        <v>-1056.242</v>
      </c>
      <c r="N21" s="30"/>
      <c r="O21" s="30">
        <f>SUM(O18:O20)</f>
        <v>-712.2293442000009</v>
      </c>
      <c r="P21" s="30"/>
      <c r="Q21" s="30">
        <f>SUM(Q18:Q20)-1</f>
        <v>30910.658315800003</v>
      </c>
      <c r="R21" s="30"/>
      <c r="S21" s="30">
        <f>SUM(S18:S20)</f>
        <v>-583.8385369625988</v>
      </c>
      <c r="T21" s="30"/>
      <c r="U21" s="27">
        <f>SUM(U18:U20)</f>
        <v>30326.819778837402</v>
      </c>
      <c r="V21" s="41"/>
    </row>
    <row r="22" spans="5:22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7"/>
      <c r="R22" s="3"/>
      <c r="S22" s="3"/>
      <c r="T22" s="3"/>
      <c r="U22" s="3"/>
      <c r="V22" s="41"/>
    </row>
    <row r="23" spans="4:22" ht="12.75" hidden="1">
      <c r="D23" s="2" t="s">
        <v>160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>('[5]Consol'!$EN$50-'[5]Consol'!$EN$47-'[5]Consol'!$EN$41-'[5]Consol'!$EN$35)/1000</f>
        <v>37478.589140021264</v>
      </c>
      <c r="V23" s="41"/>
    </row>
    <row r="24" spans="6:22" ht="12.75" hidden="1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1"/>
    </row>
    <row r="25" spans="4:22" ht="12.75" hidden="1">
      <c r="D25" s="2" t="s">
        <v>161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>'[5]Consol'!EN41/1000</f>
        <v>-13920.1193856</v>
      </c>
      <c r="V25" s="41"/>
    </row>
    <row r="26" spans="6:22" ht="12.75" hidden="1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1"/>
    </row>
    <row r="27" spans="4:22" ht="12.75" hidden="1">
      <c r="D27" s="2" t="s">
        <v>162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>'[5]Consol'!EN35/1000</f>
        <v>7857.971</v>
      </c>
      <c r="V27" s="41"/>
    </row>
    <row r="28" spans="6:22" ht="12.75" hidden="1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1"/>
    </row>
    <row r="29" spans="4:21" ht="12.75">
      <c r="D29" s="2" t="s">
        <v>163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4:21" ht="12.75">
      <c r="D30" s="2" t="s">
        <v>164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>'[2]Consol'!$EN$47/1000</f>
        <v>0</v>
      </c>
    </row>
    <row r="31" spans="6:21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9"/>
    </row>
    <row r="32" spans="4:21" ht="12.75">
      <c r="D32" s="2" t="s">
        <v>165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>U21+U30</f>
        <v>30326.819778837402</v>
      </c>
    </row>
    <row r="33" spans="6:21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4:21" ht="12.75">
      <c r="D34" s="2" t="s">
        <v>166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>SUM('[2]Consol'!$EP$52:$EP$55)/1000</f>
        <v>-10205.067</v>
      </c>
    </row>
    <row r="35" spans="6:21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4:21" ht="13.5" thickBot="1">
      <c r="D36" s="2" t="s">
        <v>167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75">
        <f>SUM(U32:U35)</f>
        <v>20121.752778837403</v>
      </c>
    </row>
    <row r="37" spans="6:21" ht="12.7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6:21" ht="12.7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1" ht="12.75">
      <c r="C39" s="20" t="s">
        <v>168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4:21" ht="12.75">
      <c r="D40" s="2" t="s">
        <v>169</v>
      </c>
      <c r="E40" s="3">
        <f>SUM('[2]Consol'!$EN$962:$EN$965,'[2]Consol'!$EN$971)/1000</f>
        <v>5132.149</v>
      </c>
      <c r="F40" s="3"/>
      <c r="G40" s="3">
        <f>'[2]Consol'!$EN$968/1000</f>
        <v>1.097</v>
      </c>
      <c r="H40" s="3"/>
      <c r="I40" s="3">
        <f>'[2]Consol'!$EN$966/1000</f>
        <v>0</v>
      </c>
      <c r="J40" s="3"/>
      <c r="K40" s="3">
        <f>'[2]Consol'!$EN$969/1000</f>
        <v>60.889</v>
      </c>
      <c r="L40" s="3"/>
      <c r="M40" s="3">
        <f>'[2]Consol'!$EN$967/1000</f>
        <v>35.908</v>
      </c>
      <c r="N40" s="3"/>
      <c r="O40" s="3">
        <f>'[2]Consol'!$EN$970/1000</f>
        <v>1295.9279553</v>
      </c>
      <c r="P40" s="3"/>
      <c r="Q40" s="3"/>
      <c r="R40" s="3"/>
      <c r="S40" s="3"/>
      <c r="T40" s="3"/>
      <c r="U40" s="3">
        <f>E40+G40+I40+K40+M40+O40</f>
        <v>6525.9709553</v>
      </c>
    </row>
    <row r="41" spans="4:21" ht="12.75">
      <c r="D41" s="2" t="s">
        <v>170</v>
      </c>
      <c r="E41" s="3">
        <f>SUM('[2]Consol'!$EN$782:$EN$785,'[2]Consol'!$EN$791)/1000</f>
        <v>1259.1760549450548</v>
      </c>
      <c r="F41" s="3"/>
      <c r="G41" s="3">
        <f>'[2]Consol'!$EN$788/1000</f>
        <v>4.956</v>
      </c>
      <c r="H41" s="3"/>
      <c r="I41" s="3">
        <f>'[2]Consol'!$EN$786/1000</f>
        <v>2.633</v>
      </c>
      <c r="J41" s="3"/>
      <c r="K41" s="3">
        <f>'[2]Consol'!$EN$789/1000</f>
        <v>219.654</v>
      </c>
      <c r="L41" s="3"/>
      <c r="M41" s="3">
        <f>'[2]Consol'!$EN$787/1000</f>
        <v>272.334</v>
      </c>
      <c r="N41" s="3"/>
      <c r="O41" s="3">
        <f>'[2]Consol'!$EN$790/1000</f>
        <v>745.6452894</v>
      </c>
      <c r="P41" s="3"/>
      <c r="Q41" s="3"/>
      <c r="R41" s="3"/>
      <c r="S41" s="3"/>
      <c r="T41" s="3"/>
      <c r="U41" s="3">
        <f>E41+G41+I41+K41+M41+O41+1</f>
        <v>2505.3983443450547</v>
      </c>
    </row>
    <row r="42" spans="4:21" ht="12.75">
      <c r="D42" s="2" t="s">
        <v>171</v>
      </c>
      <c r="E42" s="76">
        <f>-SUM('[2]Consol'!$EN$978:$EN$981,'[2]Consol'!$EN$987)/1000</f>
        <v>588.2070549450549</v>
      </c>
      <c r="F42" s="3"/>
      <c r="G42" s="3">
        <f>'[2]Consol'!$EN$985/1000</f>
        <v>0</v>
      </c>
      <c r="H42" s="3"/>
      <c r="I42" s="3">
        <f>-'[2]Consol'!$EN$982/1000</f>
        <v>0.1457333333333566</v>
      </c>
      <c r="J42" s="3"/>
      <c r="K42" s="3">
        <f>'[2]Consol'!$EN$985/1000</f>
        <v>0</v>
      </c>
      <c r="L42" s="3"/>
      <c r="M42" s="3">
        <f>0</f>
        <v>0</v>
      </c>
      <c r="N42" s="3"/>
      <c r="O42" s="3">
        <f>-'[2]Consol'!$EN$986/1000</f>
        <v>0</v>
      </c>
      <c r="P42" s="3"/>
      <c r="Q42" s="3"/>
      <c r="R42" s="3"/>
      <c r="S42" s="3"/>
      <c r="T42" s="3"/>
      <c r="U42" s="3">
        <f>E42+G42+I42+K42+M42+O42</f>
        <v>588.3527882783883</v>
      </c>
    </row>
    <row r="43" spans="3:21" ht="12.75">
      <c r="C43" s="20" t="s">
        <v>172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3:21" ht="12.75">
      <c r="C44" s="20" t="s">
        <v>173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4:21" ht="12.75">
      <c r="D45" s="2" t="s">
        <v>174</v>
      </c>
      <c r="E45" s="3">
        <f>(SUM('[2]Consol'!$EN$751:$EN$754,'[2]Consol'!$EN$760,'[2]Consol'!$EO$752)/1000)-U48</f>
        <v>4149011.4001403856</v>
      </c>
      <c r="F45" s="3"/>
      <c r="G45" s="3">
        <f>'[2]Consol'!$EN$757/1000</f>
        <v>79661.93534</v>
      </c>
      <c r="H45" s="3"/>
      <c r="I45" s="3">
        <f>'[2]Consol'!$EN$755/1000</f>
        <v>18929.513791666664</v>
      </c>
      <c r="J45" s="3"/>
      <c r="K45" s="3">
        <f>'[2]Consol'!$EN$758/1000</f>
        <v>59166.516</v>
      </c>
      <c r="L45" s="3"/>
      <c r="M45" s="3">
        <f>'[2]Consol'!$EN$756/1000</f>
        <v>49913.889251315784</v>
      </c>
      <c r="N45" s="3"/>
      <c r="O45" s="3">
        <f>'[2]Consol'!$EN$759/1000-1</f>
        <v>168764.7415862</v>
      </c>
      <c r="P45" s="3"/>
      <c r="Q45" s="3"/>
      <c r="R45" s="3"/>
      <c r="S45" s="3"/>
      <c r="T45" s="3"/>
      <c r="U45" s="3">
        <f>E45+G45+I45+K45+M45+O45+1</f>
        <v>4525448.996109568</v>
      </c>
    </row>
    <row r="46" spans="5:21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4:21" ht="12.75">
      <c r="D47" s="2" t="s">
        <v>175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4:21" ht="12.75">
      <c r="D48" s="2" t="s">
        <v>176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f>'[6]Consol'!$EN$218</f>
        <v>0.36122599244117737</v>
      </c>
    </row>
    <row r="49" spans="5:21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9"/>
    </row>
    <row r="50" spans="4:21" ht="13.5" thickBot="1">
      <c r="D50" s="2" t="s">
        <v>177</v>
      </c>
      <c r="E50" s="2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75">
        <f>SUM(U45:U48)</f>
        <v>4525449.35733556</v>
      </c>
    </row>
    <row r="51" spans="5:21" ht="12.75">
      <c r="E51" s="2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7"/>
    </row>
    <row r="52" spans="3:21" ht="12.75">
      <c r="C52" s="20" t="s">
        <v>178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4:21" ht="13.5" thickBot="1">
      <c r="D53" s="2" t="s">
        <v>179</v>
      </c>
      <c r="E53" s="3">
        <f>SUM('[2]Consol'!$EN$766:$EN$769,'[2]Consol'!$EN$775,'[2]Consol'!$EO$767)/1000</f>
        <v>2966990.9659337</v>
      </c>
      <c r="F53" s="3"/>
      <c r="G53" s="3">
        <f>'[2]Consol'!$EN$772/1000</f>
        <v>60003.427</v>
      </c>
      <c r="H53" s="3"/>
      <c r="I53" s="3">
        <f>'[2]Consol'!$EN$770/1000</f>
        <v>24658.158769765</v>
      </c>
      <c r="J53" s="3"/>
      <c r="K53" s="3">
        <f>'[2]Consol'!$EN$773/1000</f>
        <v>51785.861</v>
      </c>
      <c r="L53" s="3"/>
      <c r="M53" s="3">
        <f>'[2]Consol'!$EN$771/1000</f>
        <v>72794.197</v>
      </c>
      <c r="N53" s="3"/>
      <c r="O53" s="3">
        <f>'[2]Consol'!$EN$774/1000</f>
        <v>122068.28539774202</v>
      </c>
      <c r="P53" s="3"/>
      <c r="Q53" s="3"/>
      <c r="R53" s="3"/>
      <c r="S53" s="3"/>
      <c r="T53" s="3"/>
      <c r="U53" s="77">
        <f>E53+G53+I53+K53+M53+O53</f>
        <v>3298300.8951012073</v>
      </c>
    </row>
    <row r="54" spans="6:21" ht="12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8" spans="2:3" ht="12.75">
      <c r="B58" s="20" t="s">
        <v>180</v>
      </c>
      <c r="C58" s="1" t="s">
        <v>181</v>
      </c>
    </row>
    <row r="59" spans="2:21" ht="12.75">
      <c r="B59" s="20"/>
      <c r="C59" s="20"/>
      <c r="Q59" s="21" t="s">
        <v>182</v>
      </c>
      <c r="R59" s="21"/>
      <c r="S59" s="21" t="s">
        <v>183</v>
      </c>
      <c r="U59" s="21" t="s">
        <v>184</v>
      </c>
    </row>
    <row r="60" spans="2:21" ht="12.75">
      <c r="B60" s="20"/>
      <c r="C60" s="20"/>
      <c r="Q60" s="21" t="s">
        <v>185</v>
      </c>
      <c r="R60" s="21"/>
      <c r="S60" s="21" t="s">
        <v>186</v>
      </c>
      <c r="U60" s="21" t="s">
        <v>187</v>
      </c>
    </row>
    <row r="61" spans="17:21" ht="12.75">
      <c r="Q61" s="21" t="s">
        <v>105</v>
      </c>
      <c r="R61" s="21"/>
      <c r="S61" s="21" t="s">
        <v>105</v>
      </c>
      <c r="U61" s="21" t="s">
        <v>105</v>
      </c>
    </row>
    <row r="62" spans="3:21" ht="12.75">
      <c r="C62" s="2" t="s">
        <v>188</v>
      </c>
      <c r="Q62" s="3">
        <f>U11-Q63</f>
        <v>298339.89475000004</v>
      </c>
      <c r="R62" s="3"/>
      <c r="S62" s="3">
        <f>U50-S63</f>
        <v>4289428.012684634</v>
      </c>
      <c r="U62" s="25">
        <f>U40-U63</f>
        <v>5230.043000000001</v>
      </c>
    </row>
    <row r="63" spans="3:21" ht="12.75">
      <c r="C63" s="2" t="s">
        <v>189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>'[2]Consol'!$EN$1090/1000</f>
        <v>4237.7941152</v>
      </c>
      <c r="R63" s="3"/>
      <c r="S63" s="3">
        <f>SUM('[2]Consol'!$EN$1071:$EN$1072)/1000</f>
        <v>236021.34465092598</v>
      </c>
      <c r="U63" s="3">
        <f>'[2]Consol'!$AX$1151/1000</f>
        <v>1295.9279553</v>
      </c>
    </row>
    <row r="64" spans="6:21" ht="13.5" thickBot="1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75">
        <f>SUM(Q62:Q63)</f>
        <v>302577.68886520003</v>
      </c>
      <c r="R64" s="75"/>
      <c r="S64" s="75">
        <f>SUM(S62:S63)</f>
        <v>4525449.35733556</v>
      </c>
      <c r="T64" s="78"/>
      <c r="U64" s="75">
        <f>SUM(U62:U63)</f>
        <v>6525.9709553</v>
      </c>
    </row>
    <row r="65" spans="6:21" ht="12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25"/>
    </row>
    <row r="66" spans="6:21" ht="12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6:21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6:21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</sheetData>
  <sheetProtection password="C5C9" sheet="1" objects="1" scenarios="1"/>
  <printOptions/>
  <pageMargins left="0.25" right="0.25" top="0.25" bottom="0.25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Bhd</cp:lastModifiedBy>
  <cp:lastPrinted>2004-06-23T06:46:42Z</cp:lastPrinted>
  <dcterms:created xsi:type="dcterms:W3CDTF">2004-06-19T03:04:16Z</dcterms:created>
  <dcterms:modified xsi:type="dcterms:W3CDTF">2004-06-23T06:47:00Z</dcterms:modified>
  <cp:category/>
  <cp:version/>
  <cp:contentType/>
  <cp:contentStatus/>
</cp:coreProperties>
</file>